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24120" windowHeight="12330"/>
  </bookViews>
  <sheets>
    <sheet name="VFS_datapoints" sheetId="1" r:id="rId1"/>
    <sheet name="data_Sabbagh" sheetId="2" r:id="rId2"/>
  </sheets>
  <definedNames>
    <definedName name="_xlnm._FilterDatabase" localSheetId="1" hidden="1">data_Sabbagh!$E$3:$H$133</definedName>
    <definedName name="_xlnm._FilterDatabase" localSheetId="0" hidden="1">VFS_datapoints!$CW$68:$EU$114</definedName>
  </definedNames>
  <calcPr calcId="125725"/>
</workbook>
</file>

<file path=xl/calcChain.xml><?xml version="1.0" encoding="utf-8"?>
<calcChain xmlns="http://schemas.openxmlformats.org/spreadsheetml/2006/main">
  <c r="M114" i="2"/>
  <c r="L114"/>
  <c r="K114"/>
  <c r="M113"/>
  <c r="L113"/>
  <c r="K113"/>
  <c r="C55"/>
  <c r="B55"/>
  <c r="H137"/>
  <c r="G137"/>
  <c r="F137"/>
  <c r="G136"/>
  <c r="H136"/>
  <c r="F136"/>
  <c r="C54" l="1"/>
  <c r="B54"/>
  <c r="G68" i="1"/>
  <c r="AL68" s="1"/>
  <c r="J68"/>
  <c r="CP68"/>
  <c r="CR68"/>
  <c r="CS68"/>
  <c r="CT68"/>
  <c r="DD68"/>
  <c r="DS68"/>
  <c r="EN68"/>
  <c r="EZ68"/>
  <c r="GL68"/>
  <c r="G69"/>
  <c r="AT69" s="1"/>
  <c r="J69"/>
  <c r="CP69"/>
  <c r="CR69"/>
  <c r="CS69"/>
  <c r="CT69"/>
  <c r="DD69"/>
  <c r="DS69"/>
  <c r="EN69"/>
  <c r="EZ69"/>
  <c r="GL69"/>
  <c r="G70"/>
  <c r="AT70" s="1"/>
  <c r="J70"/>
  <c r="CP70"/>
  <c r="CR70"/>
  <c r="CS70"/>
  <c r="CT70"/>
  <c r="DD70"/>
  <c r="DS70"/>
  <c r="EN70"/>
  <c r="EZ70"/>
  <c r="GL70"/>
  <c r="G71"/>
  <c r="J71"/>
  <c r="CP71"/>
  <c r="CR71"/>
  <c r="CS71"/>
  <c r="CT71"/>
  <c r="DD71"/>
  <c r="DS71"/>
  <c r="EN71"/>
  <c r="EZ71"/>
  <c r="GL71"/>
  <c r="G72"/>
  <c r="AT72" s="1"/>
  <c r="J72"/>
  <c r="CP72"/>
  <c r="CR72"/>
  <c r="CS72"/>
  <c r="CT72"/>
  <c r="DD72"/>
  <c r="DS72"/>
  <c r="EN72"/>
  <c r="EZ72"/>
  <c r="GL72"/>
  <c r="G73"/>
  <c r="AL73" s="1"/>
  <c r="J73"/>
  <c r="CP73"/>
  <c r="CR73"/>
  <c r="CS73"/>
  <c r="CT73"/>
  <c r="DD73"/>
  <c r="DS73"/>
  <c r="EN73"/>
  <c r="EZ73"/>
  <c r="GL73"/>
  <c r="J74"/>
  <c r="BA74"/>
  <c r="FA74" s="1"/>
  <c r="BC74"/>
  <c r="BV74"/>
  <c r="FB74" s="1"/>
  <c r="BW74"/>
  <c r="CB74"/>
  <c r="CC74" s="1"/>
  <c r="CD74" s="1"/>
  <c r="CE74"/>
  <c r="CF74" s="1"/>
  <c r="CG74" s="1"/>
  <c r="CI74"/>
  <c r="CR74"/>
  <c r="CS74"/>
  <c r="CT74"/>
  <c r="DD74"/>
  <c r="DP74"/>
  <c r="DS74"/>
  <c r="EF74"/>
  <c r="EN74"/>
  <c r="EZ74"/>
  <c r="FE74"/>
  <c r="FG74"/>
  <c r="GL74"/>
  <c r="J75"/>
  <c r="AN75" s="1"/>
  <c r="BA75"/>
  <c r="BB75" s="1"/>
  <c r="BC75"/>
  <c r="BV75"/>
  <c r="FB75" s="1"/>
  <c r="BW75"/>
  <c r="CB75"/>
  <c r="CC75" s="1"/>
  <c r="CD75" s="1"/>
  <c r="CE75"/>
  <c r="CF75" s="1"/>
  <c r="CG75" s="1"/>
  <c r="CI75"/>
  <c r="CR75"/>
  <c r="CS75"/>
  <c r="CT75"/>
  <c r="DD75"/>
  <c r="DP75"/>
  <c r="DS75"/>
  <c r="EF75"/>
  <c r="EN75"/>
  <c r="EZ75"/>
  <c r="FE75"/>
  <c r="FG75"/>
  <c r="GL75"/>
  <c r="J76"/>
  <c r="BA76"/>
  <c r="BB76" s="1"/>
  <c r="BC76"/>
  <c r="BV76"/>
  <c r="BW76"/>
  <c r="CB76"/>
  <c r="CC76" s="1"/>
  <c r="CD76" s="1"/>
  <c r="CE76"/>
  <c r="CF76" s="1"/>
  <c r="CG76" s="1"/>
  <c r="CI76"/>
  <c r="CR76"/>
  <c r="CS76"/>
  <c r="CT76"/>
  <c r="DD76"/>
  <c r="DP76"/>
  <c r="DS76"/>
  <c r="EF76"/>
  <c r="EN76"/>
  <c r="EZ76"/>
  <c r="FE76"/>
  <c r="FG76"/>
  <c r="GL76"/>
  <c r="J77"/>
  <c r="BA77"/>
  <c r="BB77" s="1"/>
  <c r="BC77"/>
  <c r="BV77"/>
  <c r="FB77" s="1"/>
  <c r="BW77"/>
  <c r="CB77"/>
  <c r="CC77" s="1"/>
  <c r="CD77" s="1"/>
  <c r="CE77"/>
  <c r="CF77" s="1"/>
  <c r="CG77" s="1"/>
  <c r="CI77"/>
  <c r="CR77"/>
  <c r="CS77"/>
  <c r="CT77"/>
  <c r="DD77"/>
  <c r="DP77"/>
  <c r="DS77"/>
  <c r="EF77"/>
  <c r="EN77"/>
  <c r="EZ77"/>
  <c r="FE77"/>
  <c r="FG77"/>
  <c r="GL77"/>
  <c r="J78"/>
  <c r="AL78" s="1"/>
  <c r="BA78"/>
  <c r="FA78" s="1"/>
  <c r="BC78"/>
  <c r="BV78"/>
  <c r="FB78" s="1"/>
  <c r="BW78"/>
  <c r="CB78"/>
  <c r="CC78" s="1"/>
  <c r="CD78" s="1"/>
  <c r="GF78" s="1"/>
  <c r="CE78"/>
  <c r="CF78" s="1"/>
  <c r="CG78" s="1"/>
  <c r="CI78"/>
  <c r="CR78"/>
  <c r="CS78"/>
  <c r="CT78"/>
  <c r="DD78"/>
  <c r="DP78"/>
  <c r="DS78"/>
  <c r="EF78"/>
  <c r="EN78"/>
  <c r="EZ78"/>
  <c r="FE78"/>
  <c r="FG78"/>
  <c r="GL78"/>
  <c r="J79"/>
  <c r="BA79"/>
  <c r="BC79"/>
  <c r="BV79"/>
  <c r="FB79" s="1"/>
  <c r="BW79"/>
  <c r="CB79"/>
  <c r="CC79" s="1"/>
  <c r="CD79" s="1"/>
  <c r="CE79"/>
  <c r="CF79" s="1"/>
  <c r="CG79" s="1"/>
  <c r="CI79"/>
  <c r="CR79"/>
  <c r="CS79"/>
  <c r="CT79"/>
  <c r="DD79"/>
  <c r="DP79"/>
  <c r="DS79"/>
  <c r="EF79"/>
  <c r="EN79"/>
  <c r="EZ79"/>
  <c r="FE79"/>
  <c r="FG79"/>
  <c r="GL79"/>
  <c r="J80"/>
  <c r="AK80" s="1"/>
  <c r="V80"/>
  <c r="AD80"/>
  <c r="AJ80"/>
  <c r="AV80"/>
  <c r="BB80"/>
  <c r="BD80"/>
  <c r="BF80" s="1"/>
  <c r="BH80"/>
  <c r="BR80"/>
  <c r="BX80"/>
  <c r="BZ80" s="1"/>
  <c r="CL80"/>
  <c r="CP80"/>
  <c r="CR80"/>
  <c r="CS80"/>
  <c r="CT80"/>
  <c r="DD80"/>
  <c r="DS80"/>
  <c r="EN80"/>
  <c r="EZ80"/>
  <c r="FA80"/>
  <c r="FB80"/>
  <c r="FF80"/>
  <c r="FH80"/>
  <c r="GL80"/>
  <c r="J81"/>
  <c r="AK81" s="1"/>
  <c r="V81"/>
  <c r="AD81"/>
  <c r="AJ81"/>
  <c r="AV81"/>
  <c r="DU81" s="1"/>
  <c r="BB81"/>
  <c r="BD81"/>
  <c r="BF81" s="1"/>
  <c r="BH81"/>
  <c r="BR81"/>
  <c r="CA81" s="1"/>
  <c r="BX81"/>
  <c r="BZ81" s="1"/>
  <c r="CL81"/>
  <c r="CP81"/>
  <c r="CR81"/>
  <c r="CS81"/>
  <c r="CT81"/>
  <c r="DD81"/>
  <c r="DG81"/>
  <c r="DH81" s="1"/>
  <c r="DS81"/>
  <c r="EN81"/>
  <c r="EZ81"/>
  <c r="FA81"/>
  <c r="FB81"/>
  <c r="FF81"/>
  <c r="FH81"/>
  <c r="GL81"/>
  <c r="J82"/>
  <c r="AK82" s="1"/>
  <c r="V82"/>
  <c r="AD82"/>
  <c r="AJ82"/>
  <c r="AV82"/>
  <c r="BB82"/>
  <c r="BD82"/>
  <c r="BF82" s="1"/>
  <c r="BH82"/>
  <c r="BR82"/>
  <c r="BX82"/>
  <c r="BZ82" s="1"/>
  <c r="CL82"/>
  <c r="CP82"/>
  <c r="CR82"/>
  <c r="CS82"/>
  <c r="CT82"/>
  <c r="DD82"/>
  <c r="DV82" s="1"/>
  <c r="DS82"/>
  <c r="EN82"/>
  <c r="EZ82"/>
  <c r="FA82"/>
  <c r="FB82"/>
  <c r="FF82"/>
  <c r="DT82" s="1"/>
  <c r="FH82"/>
  <c r="GL82"/>
  <c r="J83"/>
  <c r="AK83" s="1"/>
  <c r="V83"/>
  <c r="AD83"/>
  <c r="AJ83"/>
  <c r="AV83"/>
  <c r="DU83" s="1"/>
  <c r="BB83"/>
  <c r="BD83"/>
  <c r="BF83" s="1"/>
  <c r="BH83"/>
  <c r="BR83"/>
  <c r="BX83"/>
  <c r="BZ83" s="1"/>
  <c r="CL83"/>
  <c r="CP83"/>
  <c r="CR83"/>
  <c r="CS83"/>
  <c r="CT83"/>
  <c r="DD83"/>
  <c r="DV83" s="1"/>
  <c r="DS83"/>
  <c r="EN83"/>
  <c r="EZ83"/>
  <c r="FA83"/>
  <c r="FB83"/>
  <c r="FF83"/>
  <c r="DT83" s="1"/>
  <c r="FH83"/>
  <c r="GL83"/>
  <c r="J84"/>
  <c r="AK84" s="1"/>
  <c r="V84"/>
  <c r="AD84"/>
  <c r="AJ84"/>
  <c r="AV84"/>
  <c r="DU84" s="1"/>
  <c r="BB84"/>
  <c r="BD84"/>
  <c r="BF84" s="1"/>
  <c r="BH84"/>
  <c r="BR84"/>
  <c r="BX84"/>
  <c r="BZ84" s="1"/>
  <c r="CL84"/>
  <c r="CP84"/>
  <c r="CR84"/>
  <c r="CS84"/>
  <c r="CT84"/>
  <c r="DD84"/>
  <c r="DV84" s="1"/>
  <c r="DS84"/>
  <c r="EN84"/>
  <c r="EZ84"/>
  <c r="FA84"/>
  <c r="FB84"/>
  <c r="FF84"/>
  <c r="DT84" s="1"/>
  <c r="FH84"/>
  <c r="GL84"/>
  <c r="J85"/>
  <c r="AK85" s="1"/>
  <c r="V85"/>
  <c r="AD85"/>
  <c r="AJ85"/>
  <c r="AV85"/>
  <c r="DU85" s="1"/>
  <c r="BB85"/>
  <c r="BD85"/>
  <c r="BF85" s="1"/>
  <c r="BH85"/>
  <c r="BR85"/>
  <c r="CA85" s="1"/>
  <c r="BX85"/>
  <c r="BZ85" s="1"/>
  <c r="CL85"/>
  <c r="CP85"/>
  <c r="CR85"/>
  <c r="CS85"/>
  <c r="CT85"/>
  <c r="DD85"/>
  <c r="DV85" s="1"/>
  <c r="DS85"/>
  <c r="EN85"/>
  <c r="EZ85"/>
  <c r="FA85"/>
  <c r="FB85"/>
  <c r="FF85"/>
  <c r="DT85" s="1"/>
  <c r="FH85"/>
  <c r="GL85"/>
  <c r="J86"/>
  <c r="AK86" s="1"/>
  <c r="V86"/>
  <c r="AD86"/>
  <c r="AJ86"/>
  <c r="AV86"/>
  <c r="DU86" s="1"/>
  <c r="BB86"/>
  <c r="BD86"/>
  <c r="BF86" s="1"/>
  <c r="BH86"/>
  <c r="BR86"/>
  <c r="CA86" s="1"/>
  <c r="BX86"/>
  <c r="BZ86" s="1"/>
  <c r="CL86"/>
  <c r="CP86"/>
  <c r="CR86"/>
  <c r="CS86"/>
  <c r="CT86"/>
  <c r="DD86"/>
  <c r="DV86" s="1"/>
  <c r="DS86"/>
  <c r="EN86"/>
  <c r="EZ86"/>
  <c r="FA86"/>
  <c r="FB86"/>
  <c r="FF86"/>
  <c r="DT86" s="1"/>
  <c r="FH86"/>
  <c r="GL86"/>
  <c r="J87"/>
  <c r="V87"/>
  <c r="AD87"/>
  <c r="AJ87"/>
  <c r="AV87"/>
  <c r="DU87" s="1"/>
  <c r="BB87"/>
  <c r="BD87"/>
  <c r="BF87" s="1"/>
  <c r="BH87"/>
  <c r="BR87"/>
  <c r="DG87" s="1"/>
  <c r="DH87" s="1"/>
  <c r="BX87"/>
  <c r="BZ87" s="1"/>
  <c r="CL87"/>
  <c r="CP87"/>
  <c r="CR87"/>
  <c r="CS87"/>
  <c r="CT87"/>
  <c r="DD87"/>
  <c r="DV87" s="1"/>
  <c r="DS87"/>
  <c r="EN87"/>
  <c r="EZ87"/>
  <c r="FA87"/>
  <c r="FB87"/>
  <c r="FF87"/>
  <c r="DT87" s="1"/>
  <c r="FH87"/>
  <c r="GL87"/>
  <c r="J88"/>
  <c r="AK88" s="1"/>
  <c r="V88"/>
  <c r="AD88"/>
  <c r="AJ88"/>
  <c r="AV88"/>
  <c r="DU88" s="1"/>
  <c r="BB88"/>
  <c r="BD88"/>
  <c r="BF88" s="1"/>
  <c r="BH88"/>
  <c r="BR88"/>
  <c r="BX88"/>
  <c r="BZ88" s="1"/>
  <c r="CL88"/>
  <c r="CP88"/>
  <c r="CR88"/>
  <c r="CS88"/>
  <c r="CT88"/>
  <c r="DD88"/>
  <c r="DV88" s="1"/>
  <c r="DS88"/>
  <c r="EN88"/>
  <c r="EZ88"/>
  <c r="FA88"/>
  <c r="FB88"/>
  <c r="FF88"/>
  <c r="DT88" s="1"/>
  <c r="FH88"/>
  <c r="GL88"/>
  <c r="J89"/>
  <c r="AK89" s="1"/>
  <c r="V89"/>
  <c r="AD89"/>
  <c r="AJ89"/>
  <c r="AV89"/>
  <c r="BB89"/>
  <c r="BD89"/>
  <c r="BF89" s="1"/>
  <c r="BH89"/>
  <c r="BR89"/>
  <c r="CA89" s="1"/>
  <c r="BX89"/>
  <c r="BZ89" s="1"/>
  <c r="CL89"/>
  <c r="CP89"/>
  <c r="CR89"/>
  <c r="CS89"/>
  <c r="CT89"/>
  <c r="DD89"/>
  <c r="DV89" s="1"/>
  <c r="DS89"/>
  <c r="EN89"/>
  <c r="EZ89"/>
  <c r="FA89"/>
  <c r="FB89"/>
  <c r="FF89"/>
  <c r="DT89" s="1"/>
  <c r="FH89"/>
  <c r="GL89"/>
  <c r="J90"/>
  <c r="AK90" s="1"/>
  <c r="V90"/>
  <c r="AD90"/>
  <c r="AJ90"/>
  <c r="AV90"/>
  <c r="DU90" s="1"/>
  <c r="BB90"/>
  <c r="BD90"/>
  <c r="BF90" s="1"/>
  <c r="BH90"/>
  <c r="BR90"/>
  <c r="BX90"/>
  <c r="BZ90" s="1"/>
  <c r="CL90"/>
  <c r="CP90"/>
  <c r="CR90"/>
  <c r="CS90"/>
  <c r="CT90"/>
  <c r="DD90"/>
  <c r="DV90" s="1"/>
  <c r="DS90"/>
  <c r="EN90"/>
  <c r="EZ90"/>
  <c r="FA90"/>
  <c r="FB90"/>
  <c r="FF90"/>
  <c r="DT90" s="1"/>
  <c r="FH90"/>
  <c r="GL90"/>
  <c r="J91"/>
  <c r="AK91" s="1"/>
  <c r="V91"/>
  <c r="AD91"/>
  <c r="AJ91"/>
  <c r="AV91"/>
  <c r="DU91" s="1"/>
  <c r="BB91"/>
  <c r="BD91"/>
  <c r="BF91" s="1"/>
  <c r="BH91"/>
  <c r="BR91"/>
  <c r="BX91"/>
  <c r="BZ91" s="1"/>
  <c r="CL91"/>
  <c r="CP91"/>
  <c r="CR91"/>
  <c r="CS91"/>
  <c r="CT91"/>
  <c r="DD91"/>
  <c r="DV91" s="1"/>
  <c r="DS91"/>
  <c r="EN91"/>
  <c r="EZ91"/>
  <c r="FA91"/>
  <c r="FB91"/>
  <c r="FF91"/>
  <c r="DT91" s="1"/>
  <c r="FH91"/>
  <c r="GL91"/>
  <c r="J92"/>
  <c r="AK92" s="1"/>
  <c r="V92"/>
  <c r="AD92"/>
  <c r="AJ92"/>
  <c r="AV92"/>
  <c r="DU92" s="1"/>
  <c r="BB92"/>
  <c r="BD92"/>
  <c r="BF92" s="1"/>
  <c r="BH92"/>
  <c r="BR92"/>
  <c r="CA92" s="1"/>
  <c r="BX92"/>
  <c r="BZ92" s="1"/>
  <c r="CL92"/>
  <c r="CP92"/>
  <c r="CR92"/>
  <c r="CS92"/>
  <c r="CT92"/>
  <c r="DD92"/>
  <c r="DV92" s="1"/>
  <c r="DG92"/>
  <c r="DH92" s="1"/>
  <c r="DS92"/>
  <c r="EN92"/>
  <c r="EZ92"/>
  <c r="FA92"/>
  <c r="FB92"/>
  <c r="FF92"/>
  <c r="DT92" s="1"/>
  <c r="FH92"/>
  <c r="GL92"/>
  <c r="J93"/>
  <c r="V93"/>
  <c r="AD93"/>
  <c r="AJ93"/>
  <c r="AV93"/>
  <c r="BB93"/>
  <c r="BD93"/>
  <c r="BF93" s="1"/>
  <c r="BH93"/>
  <c r="BR93"/>
  <c r="BX93"/>
  <c r="BZ93" s="1"/>
  <c r="CL93"/>
  <c r="CP93"/>
  <c r="CR93"/>
  <c r="CS93"/>
  <c r="CT93"/>
  <c r="DD93"/>
  <c r="DS93"/>
  <c r="EN93"/>
  <c r="EZ93"/>
  <c r="FA93"/>
  <c r="FB93"/>
  <c r="FF93"/>
  <c r="FH93"/>
  <c r="GL93"/>
  <c r="J94"/>
  <c r="AK94" s="1"/>
  <c r="V94"/>
  <c r="AD94"/>
  <c r="AJ94"/>
  <c r="AV94"/>
  <c r="BB94"/>
  <c r="BD94"/>
  <c r="BF94" s="1"/>
  <c r="BH94"/>
  <c r="BR94"/>
  <c r="DG94" s="1"/>
  <c r="DH94" s="1"/>
  <c r="BX94"/>
  <c r="BZ94" s="1"/>
  <c r="CL94"/>
  <c r="CP94"/>
  <c r="CR94"/>
  <c r="CS94"/>
  <c r="CT94"/>
  <c r="DD94"/>
  <c r="DS94"/>
  <c r="EN94"/>
  <c r="EZ94"/>
  <c r="FA94"/>
  <c r="FB94"/>
  <c r="FF94"/>
  <c r="FH94"/>
  <c r="GL94"/>
  <c r="J95"/>
  <c r="V95"/>
  <c r="AD95"/>
  <c r="AJ95"/>
  <c r="AV95"/>
  <c r="DU95" s="1"/>
  <c r="BB95"/>
  <c r="BD95"/>
  <c r="BF95" s="1"/>
  <c r="BH95"/>
  <c r="BR95"/>
  <c r="DG95" s="1"/>
  <c r="DH95" s="1"/>
  <c r="BX95"/>
  <c r="BZ95" s="1"/>
  <c r="CL95"/>
  <c r="CP95"/>
  <c r="CR95"/>
  <c r="CS95"/>
  <c r="CT95"/>
  <c r="DD95"/>
  <c r="DS95"/>
  <c r="EN95"/>
  <c r="EZ95"/>
  <c r="FA95"/>
  <c r="FB95"/>
  <c r="FF95"/>
  <c r="FH95"/>
  <c r="GL95"/>
  <c r="J96"/>
  <c r="V96"/>
  <c r="AD96"/>
  <c r="AJ96"/>
  <c r="AV96"/>
  <c r="DU96" s="1"/>
  <c r="BB96"/>
  <c r="BD96"/>
  <c r="BF96" s="1"/>
  <c r="BH96"/>
  <c r="BR96"/>
  <c r="BX96"/>
  <c r="BZ96" s="1"/>
  <c r="CL96"/>
  <c r="CP96"/>
  <c r="CR96"/>
  <c r="CS96"/>
  <c r="CT96"/>
  <c r="DD96"/>
  <c r="DS96"/>
  <c r="EN96"/>
  <c r="EZ96"/>
  <c r="FA96"/>
  <c r="FB96"/>
  <c r="FF96"/>
  <c r="FH96"/>
  <c r="GL96"/>
  <c r="J97"/>
  <c r="AK97" s="1"/>
  <c r="V97"/>
  <c r="AD97"/>
  <c r="AJ97"/>
  <c r="AV97"/>
  <c r="DU97" s="1"/>
  <c r="BB97"/>
  <c r="BD97"/>
  <c r="BF97" s="1"/>
  <c r="BH97"/>
  <c r="BR97"/>
  <c r="CA97" s="1"/>
  <c r="BX97"/>
  <c r="BZ97" s="1"/>
  <c r="CL97"/>
  <c r="CP97"/>
  <c r="CR97"/>
  <c r="CS97"/>
  <c r="CT97"/>
  <c r="DD97"/>
  <c r="DS97"/>
  <c r="EN97"/>
  <c r="EZ97"/>
  <c r="FA97"/>
  <c r="FB97"/>
  <c r="FF97"/>
  <c r="FH97"/>
  <c r="GL97"/>
  <c r="J98"/>
  <c r="AK98" s="1"/>
  <c r="V98"/>
  <c r="AD98"/>
  <c r="AJ98"/>
  <c r="AV98"/>
  <c r="BB98"/>
  <c r="BD98"/>
  <c r="BF98" s="1"/>
  <c r="BH98"/>
  <c r="BR98"/>
  <c r="DG98" s="1"/>
  <c r="DH98" s="1"/>
  <c r="BX98"/>
  <c r="BZ98" s="1"/>
  <c r="CL98"/>
  <c r="CP98"/>
  <c r="CR98"/>
  <c r="CS98"/>
  <c r="CT98"/>
  <c r="DD98"/>
  <c r="DS98"/>
  <c r="EN98"/>
  <c r="EZ98"/>
  <c r="FA98"/>
  <c r="FB98"/>
  <c r="FF98"/>
  <c r="FH98"/>
  <c r="GL98"/>
  <c r="J99"/>
  <c r="V99"/>
  <c r="AD99"/>
  <c r="AJ99"/>
  <c r="AV99"/>
  <c r="DU99" s="1"/>
  <c r="BB99"/>
  <c r="BD99"/>
  <c r="BF99" s="1"/>
  <c r="BH99"/>
  <c r="BR99"/>
  <c r="CA99" s="1"/>
  <c r="BX99"/>
  <c r="BZ99" s="1"/>
  <c r="CL99"/>
  <c r="CP99"/>
  <c r="CR99"/>
  <c r="CS99"/>
  <c r="CT99"/>
  <c r="DD99"/>
  <c r="DS99"/>
  <c r="EN99"/>
  <c r="EZ99"/>
  <c r="FA99"/>
  <c r="FB99"/>
  <c r="FF99"/>
  <c r="FH99"/>
  <c r="GL99"/>
  <c r="J100"/>
  <c r="AK100" s="1"/>
  <c r="V100"/>
  <c r="AD100"/>
  <c r="AJ100"/>
  <c r="AV100"/>
  <c r="BB100"/>
  <c r="BD100"/>
  <c r="BF100" s="1"/>
  <c r="BH100"/>
  <c r="BR100"/>
  <c r="BX100"/>
  <c r="BZ100" s="1"/>
  <c r="CL100"/>
  <c r="CP100"/>
  <c r="CR100"/>
  <c r="CS100"/>
  <c r="CT100"/>
  <c r="DD100"/>
  <c r="DS100"/>
  <c r="EN100"/>
  <c r="EZ100"/>
  <c r="FA100"/>
  <c r="FB100"/>
  <c r="FF100"/>
  <c r="FH100"/>
  <c r="GL100"/>
  <c r="J101"/>
  <c r="AK101" s="1"/>
  <c r="V101"/>
  <c r="AD101"/>
  <c r="AJ101"/>
  <c r="AV101"/>
  <c r="BB101"/>
  <c r="BD101"/>
  <c r="BF101" s="1"/>
  <c r="BH101"/>
  <c r="BR101"/>
  <c r="DG101" s="1"/>
  <c r="DH101" s="1"/>
  <c r="BX101"/>
  <c r="BZ101" s="1"/>
  <c r="CL101"/>
  <c r="CP101"/>
  <c r="CR101"/>
  <c r="CS101"/>
  <c r="CT101"/>
  <c r="DD101"/>
  <c r="DS101"/>
  <c r="EN101"/>
  <c r="EZ101"/>
  <c r="FA101"/>
  <c r="FB101"/>
  <c r="FF101"/>
  <c r="DT101" s="1"/>
  <c r="FH101"/>
  <c r="GL101"/>
  <c r="J102"/>
  <c r="V102"/>
  <c r="AD102"/>
  <c r="AJ102"/>
  <c r="AV102"/>
  <c r="BB102"/>
  <c r="BD102"/>
  <c r="BF102" s="1"/>
  <c r="BH102"/>
  <c r="BR102"/>
  <c r="CA102" s="1"/>
  <c r="BX102"/>
  <c r="BZ102" s="1"/>
  <c r="CL102"/>
  <c r="CP102"/>
  <c r="CR102"/>
  <c r="CS102"/>
  <c r="CT102"/>
  <c r="DD102"/>
  <c r="DS102"/>
  <c r="EN102"/>
  <c r="EZ102"/>
  <c r="FA102"/>
  <c r="FB102"/>
  <c r="FF102"/>
  <c r="DT102" s="1"/>
  <c r="FH102"/>
  <c r="GL102"/>
  <c r="J103"/>
  <c r="AK103" s="1"/>
  <c r="V103"/>
  <c r="AD103"/>
  <c r="AJ103"/>
  <c r="AV103"/>
  <c r="DU103" s="1"/>
  <c r="BB103"/>
  <c r="BD103"/>
  <c r="BF103" s="1"/>
  <c r="BH103"/>
  <c r="BR103"/>
  <c r="BX103"/>
  <c r="BZ103" s="1"/>
  <c r="CL103"/>
  <c r="CP103"/>
  <c r="CR103"/>
  <c r="CS103"/>
  <c r="CT103"/>
  <c r="DD103"/>
  <c r="DS103"/>
  <c r="EN103"/>
  <c r="EZ103"/>
  <c r="FA103"/>
  <c r="FB103"/>
  <c r="FF103"/>
  <c r="DT103" s="1"/>
  <c r="FH103"/>
  <c r="GL103"/>
  <c r="J104"/>
  <c r="AK104" s="1"/>
  <c r="V104"/>
  <c r="AD104"/>
  <c r="AJ104"/>
  <c r="AV104"/>
  <c r="BB104"/>
  <c r="BD104"/>
  <c r="BF104" s="1"/>
  <c r="BH104"/>
  <c r="BR104"/>
  <c r="BX104"/>
  <c r="BZ104" s="1"/>
  <c r="CL104"/>
  <c r="CP104"/>
  <c r="CR104"/>
  <c r="CS104"/>
  <c r="CT104"/>
  <c r="DD104"/>
  <c r="DS104"/>
  <c r="EN104"/>
  <c r="EZ104"/>
  <c r="FA104"/>
  <c r="FB104"/>
  <c r="FF104"/>
  <c r="DT104" s="1"/>
  <c r="FH104"/>
  <c r="GL104"/>
  <c r="J105"/>
  <c r="V105"/>
  <c r="AD105"/>
  <c r="AJ105"/>
  <c r="AV105"/>
  <c r="BB105"/>
  <c r="BD105"/>
  <c r="BF105" s="1"/>
  <c r="BH105"/>
  <c r="BR105"/>
  <c r="CA105" s="1"/>
  <c r="BX105"/>
  <c r="BZ105" s="1"/>
  <c r="CL105"/>
  <c r="CP105"/>
  <c r="CR105"/>
  <c r="CS105"/>
  <c r="CT105"/>
  <c r="DD105"/>
  <c r="DS105"/>
  <c r="EN105"/>
  <c r="EZ105"/>
  <c r="FA105"/>
  <c r="FB105"/>
  <c r="FF105"/>
  <c r="DT105" s="1"/>
  <c r="FH105"/>
  <c r="GL105"/>
  <c r="J106"/>
  <c r="AK106" s="1"/>
  <c r="V106"/>
  <c r="AD106"/>
  <c r="AJ106"/>
  <c r="AV106"/>
  <c r="DU106" s="1"/>
  <c r="BB106"/>
  <c r="BD106"/>
  <c r="BF106" s="1"/>
  <c r="BH106"/>
  <c r="BR106"/>
  <c r="DG106" s="1"/>
  <c r="DH106" s="1"/>
  <c r="BX106"/>
  <c r="BZ106" s="1"/>
  <c r="CL106"/>
  <c r="CP106"/>
  <c r="CR106"/>
  <c r="CS106"/>
  <c r="CT106"/>
  <c r="DD106"/>
  <c r="DS106"/>
  <c r="EN106"/>
  <c r="EZ106"/>
  <c r="FA106"/>
  <c r="FB106"/>
  <c r="FF106"/>
  <c r="DT106" s="1"/>
  <c r="FH106"/>
  <c r="GL106"/>
  <c r="J107"/>
  <c r="V107"/>
  <c r="AD107"/>
  <c r="AJ107"/>
  <c r="AV107"/>
  <c r="BB107"/>
  <c r="BD107"/>
  <c r="BF107" s="1"/>
  <c r="BH107"/>
  <c r="BR107"/>
  <c r="BX107"/>
  <c r="BZ107" s="1"/>
  <c r="CL107"/>
  <c r="CP107"/>
  <c r="CR107"/>
  <c r="CS107"/>
  <c r="CT107"/>
  <c r="DD107"/>
  <c r="DS107"/>
  <c r="EN107"/>
  <c r="EZ107"/>
  <c r="FA107"/>
  <c r="FB107"/>
  <c r="FF107"/>
  <c r="DT107" s="1"/>
  <c r="FH107"/>
  <c r="GL107"/>
  <c r="J108"/>
  <c r="AK108" s="1"/>
  <c r="V108"/>
  <c r="AD108"/>
  <c r="AJ108"/>
  <c r="AV108"/>
  <c r="BB108"/>
  <c r="BD108"/>
  <c r="BF108" s="1"/>
  <c r="BH108"/>
  <c r="BR108"/>
  <c r="DG108" s="1"/>
  <c r="DH108" s="1"/>
  <c r="BX108"/>
  <c r="BZ108" s="1"/>
  <c r="CL108"/>
  <c r="CP108"/>
  <c r="CR108"/>
  <c r="CS108"/>
  <c r="CT108"/>
  <c r="DD108"/>
  <c r="DS108"/>
  <c r="EN108"/>
  <c r="EZ108"/>
  <c r="FA108"/>
  <c r="FB108"/>
  <c r="FF108"/>
  <c r="DT108" s="1"/>
  <c r="FH108"/>
  <c r="GL108"/>
  <c r="J109"/>
  <c r="AK109" s="1"/>
  <c r="V109"/>
  <c r="AD109"/>
  <c r="AJ109"/>
  <c r="AV109"/>
  <c r="BB109"/>
  <c r="BD109"/>
  <c r="BF109" s="1"/>
  <c r="BH109"/>
  <c r="BR109"/>
  <c r="CA109" s="1"/>
  <c r="BX109"/>
  <c r="BZ109" s="1"/>
  <c r="CL109"/>
  <c r="CP109"/>
  <c r="CR109"/>
  <c r="CS109"/>
  <c r="CT109"/>
  <c r="DD109"/>
  <c r="DS109"/>
  <c r="EN109"/>
  <c r="EZ109"/>
  <c r="FA109"/>
  <c r="FB109"/>
  <c r="FF109"/>
  <c r="DT109" s="1"/>
  <c r="FH109"/>
  <c r="GL109"/>
  <c r="J110"/>
  <c r="V110"/>
  <c r="AD110"/>
  <c r="AJ110"/>
  <c r="AV110"/>
  <c r="DU110" s="1"/>
  <c r="BB110"/>
  <c r="BD110"/>
  <c r="BF110" s="1"/>
  <c r="BH110"/>
  <c r="BR110"/>
  <c r="DG110" s="1"/>
  <c r="DH110" s="1"/>
  <c r="BX110"/>
  <c r="BZ110" s="1"/>
  <c r="CL110"/>
  <c r="CP110"/>
  <c r="CR110"/>
  <c r="CS110"/>
  <c r="CT110"/>
  <c r="DD110"/>
  <c r="DS110"/>
  <c r="EN110"/>
  <c r="EZ110"/>
  <c r="FA110"/>
  <c r="FB110"/>
  <c r="FF110"/>
  <c r="DT110" s="1"/>
  <c r="FH110"/>
  <c r="GL110"/>
  <c r="J111"/>
  <c r="V111"/>
  <c r="AD111"/>
  <c r="AJ111"/>
  <c r="AV111"/>
  <c r="BB111"/>
  <c r="BD111"/>
  <c r="BF111" s="1"/>
  <c r="BH111"/>
  <c r="BR111"/>
  <c r="CA111" s="1"/>
  <c r="BX111"/>
  <c r="BZ111" s="1"/>
  <c r="CL111"/>
  <c r="CP111"/>
  <c r="CR111"/>
  <c r="CS111"/>
  <c r="CT111"/>
  <c r="DD111"/>
  <c r="DS111"/>
  <c r="EN111"/>
  <c r="EZ111"/>
  <c r="FA111"/>
  <c r="FB111"/>
  <c r="FF111"/>
  <c r="DT111" s="1"/>
  <c r="FH111"/>
  <c r="GL111"/>
  <c r="J112"/>
  <c r="AK112" s="1"/>
  <c r="V112"/>
  <c r="AD112"/>
  <c r="AJ112"/>
  <c r="AV112"/>
  <c r="BB112"/>
  <c r="BD112"/>
  <c r="BF112" s="1"/>
  <c r="BH112"/>
  <c r="BR112"/>
  <c r="BX112"/>
  <c r="BZ112" s="1"/>
  <c r="CL112"/>
  <c r="CP112"/>
  <c r="CR112"/>
  <c r="CS112"/>
  <c r="CT112"/>
  <c r="DD112"/>
  <c r="DS112"/>
  <c r="EN112"/>
  <c r="EZ112"/>
  <c r="FA112"/>
  <c r="FB112"/>
  <c r="FF112"/>
  <c r="DT112" s="1"/>
  <c r="FH112"/>
  <c r="GL112"/>
  <c r="J113"/>
  <c r="V113"/>
  <c r="AD113"/>
  <c r="AJ113"/>
  <c r="AV113"/>
  <c r="BB113"/>
  <c r="BD113"/>
  <c r="BF113" s="1"/>
  <c r="BH113"/>
  <c r="BR113"/>
  <c r="CA113" s="1"/>
  <c r="BX113"/>
  <c r="BZ113" s="1"/>
  <c r="CL113"/>
  <c r="CP113"/>
  <c r="CR113"/>
  <c r="CS113"/>
  <c r="CT113"/>
  <c r="DD113"/>
  <c r="DS113"/>
  <c r="EN113"/>
  <c r="EZ113"/>
  <c r="FA113"/>
  <c r="FB113"/>
  <c r="FF113"/>
  <c r="DT113" s="1"/>
  <c r="FH113"/>
  <c r="GL113"/>
  <c r="J114"/>
  <c r="AK114" s="1"/>
  <c r="V114"/>
  <c r="AD114"/>
  <c r="AJ114"/>
  <c r="AV114"/>
  <c r="DU114" s="1"/>
  <c r="BB114"/>
  <c r="BD114"/>
  <c r="BF114" s="1"/>
  <c r="BH114"/>
  <c r="BR114"/>
  <c r="DG114" s="1"/>
  <c r="DH114" s="1"/>
  <c r="BX114"/>
  <c r="BZ114" s="1"/>
  <c r="CL114"/>
  <c r="CP114"/>
  <c r="CR114"/>
  <c r="CS114"/>
  <c r="CT114"/>
  <c r="DD114"/>
  <c r="DS114"/>
  <c r="EN114"/>
  <c r="EZ114"/>
  <c r="FA114"/>
  <c r="FB114"/>
  <c r="FF114"/>
  <c r="DT114" s="1"/>
  <c r="FH114"/>
  <c r="GL114"/>
  <c r="AS80" l="1"/>
  <c r="DU80"/>
  <c r="DV78"/>
  <c r="BG89"/>
  <c r="DU89"/>
  <c r="AS82"/>
  <c r="DU82"/>
  <c r="DV114"/>
  <c r="DV113"/>
  <c r="DV112"/>
  <c r="DV111"/>
  <c r="DV110"/>
  <c r="DV109"/>
  <c r="DV108"/>
  <c r="DV107"/>
  <c r="DV106"/>
  <c r="DV105"/>
  <c r="DV104"/>
  <c r="DV103"/>
  <c r="DV102"/>
  <c r="DV101"/>
  <c r="DV100"/>
  <c r="DV99"/>
  <c r="DV98"/>
  <c r="DV97"/>
  <c r="DV96"/>
  <c r="DV95"/>
  <c r="DV94"/>
  <c r="DV93"/>
  <c r="DT80"/>
  <c r="AS113"/>
  <c r="DU113"/>
  <c r="AS112"/>
  <c r="DU112"/>
  <c r="AS111"/>
  <c r="DU111"/>
  <c r="AS109"/>
  <c r="DU109"/>
  <c r="BG108"/>
  <c r="DU108"/>
  <c r="AS107"/>
  <c r="DU107"/>
  <c r="AS105"/>
  <c r="DU105"/>
  <c r="AS104"/>
  <c r="DU104"/>
  <c r="AS102"/>
  <c r="DU102"/>
  <c r="AS101"/>
  <c r="DU101"/>
  <c r="AS100"/>
  <c r="DU100"/>
  <c r="BG98"/>
  <c r="DU98"/>
  <c r="BG94"/>
  <c r="DU94"/>
  <c r="AS93"/>
  <c r="DU93"/>
  <c r="BC68"/>
  <c r="DU68"/>
  <c r="DT81"/>
  <c r="CJ78"/>
  <c r="CK78" s="1"/>
  <c r="DY78"/>
  <c r="CJ77"/>
  <c r="CK77" s="1"/>
  <c r="CJ74"/>
  <c r="CK74" s="1"/>
  <c r="DT100"/>
  <c r="DT99"/>
  <c r="DT98"/>
  <c r="DT97"/>
  <c r="DT96"/>
  <c r="DT95"/>
  <c r="DT94"/>
  <c r="DT93"/>
  <c r="DV81"/>
  <c r="DV80"/>
  <c r="DG105"/>
  <c r="DH105" s="1"/>
  <c r="DG102"/>
  <c r="DH102" s="1"/>
  <c r="BI97"/>
  <c r="BI92"/>
  <c r="BI82"/>
  <c r="BI84"/>
  <c r="BI81"/>
  <c r="BI85"/>
  <c r="BI83"/>
  <c r="BI88"/>
  <c r="BI101"/>
  <c r="BI106"/>
  <c r="BI103"/>
  <c r="BI90"/>
  <c r="BI89"/>
  <c r="BI114"/>
  <c r="CI90"/>
  <c r="BR69"/>
  <c r="BQ69" s="1"/>
  <c r="CI111"/>
  <c r="BI109"/>
  <c r="BI108"/>
  <c r="CA114"/>
  <c r="FG114" s="1"/>
  <c r="CA106"/>
  <c r="FG106" s="1"/>
  <c r="BI100"/>
  <c r="BI96"/>
  <c r="CI93"/>
  <c r="CM79"/>
  <c r="CN79" s="1"/>
  <c r="CO79" s="1"/>
  <c r="EF95"/>
  <c r="AN92"/>
  <c r="AM92" s="1"/>
  <c r="AN89"/>
  <c r="AV72"/>
  <c r="AS72" s="1"/>
  <c r="BG93"/>
  <c r="FE93" s="1"/>
  <c r="AN102"/>
  <c r="CH102" s="1"/>
  <c r="DP102" s="1"/>
  <c r="AN96"/>
  <c r="DA96" s="1"/>
  <c r="DE96" s="1"/>
  <c r="DR96" s="1"/>
  <c r="CA95"/>
  <c r="FG95" s="1"/>
  <c r="CB86"/>
  <c r="CC86" s="1"/>
  <c r="CD86" s="1"/>
  <c r="AL69"/>
  <c r="BJ68"/>
  <c r="BI91"/>
  <c r="AK96"/>
  <c r="DG113"/>
  <c r="DH113" s="1"/>
  <c r="EF105"/>
  <c r="FA76"/>
  <c r="AN111"/>
  <c r="AY111" s="1"/>
  <c r="EH111" s="1"/>
  <c r="V68"/>
  <c r="V71"/>
  <c r="BR71"/>
  <c r="BQ71" s="1"/>
  <c r="AT71"/>
  <c r="AK111"/>
  <c r="AN108"/>
  <c r="AM108" s="1"/>
  <c r="CI101"/>
  <c r="AN99"/>
  <c r="AN94"/>
  <c r="AM94" s="1"/>
  <c r="EF92"/>
  <c r="EF109"/>
  <c r="BI94"/>
  <c r="BR73"/>
  <c r="BQ73" s="1"/>
  <c r="BJ72"/>
  <c r="AV68"/>
  <c r="AS68" s="1"/>
  <c r="BR68"/>
  <c r="BQ68" s="1"/>
  <c r="CE89"/>
  <c r="CF89" s="1"/>
  <c r="CG89" s="1"/>
  <c r="BG107"/>
  <c r="BC107" s="1"/>
  <c r="EP79"/>
  <c r="EO79" s="1"/>
  <c r="EM79" s="1"/>
  <c r="EQ79" s="1"/>
  <c r="BJ71"/>
  <c r="AL71"/>
  <c r="EF85"/>
  <c r="EF113"/>
  <c r="CA108"/>
  <c r="CI107"/>
  <c r="CB98"/>
  <c r="CC98" s="1"/>
  <c r="CD98" s="1"/>
  <c r="CI97"/>
  <c r="BI86"/>
  <c r="BG80"/>
  <c r="G78"/>
  <c r="AS78" s="1"/>
  <c r="CM76"/>
  <c r="CN76" s="1"/>
  <c r="CO76" s="1"/>
  <c r="CM74"/>
  <c r="CN74" s="1"/>
  <c r="CO74" s="1"/>
  <c r="FK74" s="1"/>
  <c r="V72"/>
  <c r="AV71"/>
  <c r="AS71" s="1"/>
  <c r="AT68"/>
  <c r="AU68" s="1"/>
  <c r="BI102"/>
  <c r="AS98"/>
  <c r="CA94"/>
  <c r="FG94" s="1"/>
  <c r="AN93"/>
  <c r="AY93" s="1"/>
  <c r="EH93" s="1"/>
  <c r="BG82"/>
  <c r="AN82"/>
  <c r="AM82" s="1"/>
  <c r="CM78"/>
  <c r="CN78" s="1"/>
  <c r="CO78" s="1"/>
  <c r="FK78" s="1"/>
  <c r="BR70"/>
  <c r="BQ70" s="1"/>
  <c r="AS94"/>
  <c r="CI94"/>
  <c r="DG90"/>
  <c r="DH90" s="1"/>
  <c r="CA90"/>
  <c r="BW90" s="1"/>
  <c r="AS90"/>
  <c r="BG90"/>
  <c r="BC90" s="1"/>
  <c r="BG112"/>
  <c r="FE112" s="1"/>
  <c r="BG104"/>
  <c r="BC104" s="1"/>
  <c r="CA101"/>
  <c r="BG101"/>
  <c r="FE101" s="1"/>
  <c r="BG100"/>
  <c r="FE100" s="1"/>
  <c r="AN100"/>
  <c r="EG100" s="1"/>
  <c r="BC98"/>
  <c r="CA87"/>
  <c r="FG87" s="1"/>
  <c r="EP75"/>
  <c r="EO75" s="1"/>
  <c r="EM75" s="1"/>
  <c r="EQ75" s="1"/>
  <c r="AN79"/>
  <c r="DA79" s="1"/>
  <c r="DE79" s="1"/>
  <c r="G79"/>
  <c r="AS79" s="1"/>
  <c r="DQ76"/>
  <c r="CJ76"/>
  <c r="CK76" s="1"/>
  <c r="FW76" s="1"/>
  <c r="BI111"/>
  <c r="DG109"/>
  <c r="DH109" s="1"/>
  <c r="AN107"/>
  <c r="EG107" s="1"/>
  <c r="EF91"/>
  <c r="EF87"/>
  <c r="DG85"/>
  <c r="DH85" s="1"/>
  <c r="AS97"/>
  <c r="BG97"/>
  <c r="CE97" s="1"/>
  <c r="CF97" s="1"/>
  <c r="CG97" s="1"/>
  <c r="DG83"/>
  <c r="DH83" s="1"/>
  <c r="CA83"/>
  <c r="BW83" s="1"/>
  <c r="AS83"/>
  <c r="BG83"/>
  <c r="BC83" s="1"/>
  <c r="BW109"/>
  <c r="AK102"/>
  <c r="AK93"/>
  <c r="AK107"/>
  <c r="AK99"/>
  <c r="AN112"/>
  <c r="CH112" s="1"/>
  <c r="BI110"/>
  <c r="AN109"/>
  <c r="AM109" s="1"/>
  <c r="BI107"/>
  <c r="EF102"/>
  <c r="BW102"/>
  <c r="CI100"/>
  <c r="CI92"/>
  <c r="BW86"/>
  <c r="AN81"/>
  <c r="AM81" s="1"/>
  <c r="BI80"/>
  <c r="AN80"/>
  <c r="CH80" s="1"/>
  <c r="AN78"/>
  <c r="DA78" s="1"/>
  <c r="DE78" s="1"/>
  <c r="DR78" s="1"/>
  <c r="FA77"/>
  <c r="AT73"/>
  <c r="AU73" s="1"/>
  <c r="EP74"/>
  <c r="EO74" s="1"/>
  <c r="EM74" s="1"/>
  <c r="EQ74" s="1"/>
  <c r="AL72"/>
  <c r="BR72"/>
  <c r="BQ72" s="1"/>
  <c r="AN97"/>
  <c r="AM97" s="1"/>
  <c r="BI93"/>
  <c r="AN90"/>
  <c r="AM90" s="1"/>
  <c r="FE89"/>
  <c r="AN88"/>
  <c r="AM88" s="1"/>
  <c r="AN86"/>
  <c r="DA86" s="1"/>
  <c r="DE86" s="1"/>
  <c r="DR86" s="1"/>
  <c r="BJ78"/>
  <c r="BT78" s="1"/>
  <c r="FH78" s="1"/>
  <c r="CM77"/>
  <c r="CN77" s="1"/>
  <c r="CO77" s="1"/>
  <c r="FK77" s="1"/>
  <c r="CM75"/>
  <c r="CN75" s="1"/>
  <c r="CO75" s="1"/>
  <c r="CB97"/>
  <c r="CC97" s="1"/>
  <c r="CD97" s="1"/>
  <c r="DG112"/>
  <c r="DH112" s="1"/>
  <c r="CA112"/>
  <c r="FG112" s="1"/>
  <c r="FG111"/>
  <c r="BW111"/>
  <c r="DG104"/>
  <c r="DH104" s="1"/>
  <c r="CA104"/>
  <c r="CA103"/>
  <c r="FG103" s="1"/>
  <c r="DG103"/>
  <c r="DH103" s="1"/>
  <c r="BW97"/>
  <c r="CB94"/>
  <c r="CC94" s="1"/>
  <c r="CD94" s="1"/>
  <c r="BC94"/>
  <c r="CB93"/>
  <c r="CC93" s="1"/>
  <c r="CD93" s="1"/>
  <c r="CA91"/>
  <c r="DG91"/>
  <c r="DH91" s="1"/>
  <c r="CA82"/>
  <c r="CI82"/>
  <c r="CI110"/>
  <c r="EF110"/>
  <c r="BC108"/>
  <c r="CB108"/>
  <c r="CC108" s="1"/>
  <c r="CD108" s="1"/>
  <c r="CA96"/>
  <c r="FG96" s="1"/>
  <c r="DG96"/>
  <c r="DH96" s="1"/>
  <c r="CA88"/>
  <c r="BW88" s="1"/>
  <c r="DG88"/>
  <c r="DH88" s="1"/>
  <c r="AL77"/>
  <c r="AN77"/>
  <c r="DA77" s="1"/>
  <c r="DE77" s="1"/>
  <c r="BJ77"/>
  <c r="G77"/>
  <c r="AS77" s="1"/>
  <c r="AS108"/>
  <c r="CI108"/>
  <c r="AS86"/>
  <c r="CI86"/>
  <c r="FG89"/>
  <c r="CB89"/>
  <c r="CC89" s="1"/>
  <c r="CD89" s="1"/>
  <c r="AS89"/>
  <c r="CI89"/>
  <c r="CA80"/>
  <c r="FG80" s="1"/>
  <c r="CI80"/>
  <c r="EF80"/>
  <c r="DG80"/>
  <c r="DH80" s="1"/>
  <c r="CB80"/>
  <c r="CC80" s="1"/>
  <c r="CD80" s="1"/>
  <c r="EF103"/>
  <c r="CI112"/>
  <c r="CI104"/>
  <c r="CB101"/>
  <c r="CC101" s="1"/>
  <c r="CD101" s="1"/>
  <c r="DG99"/>
  <c r="DH99" s="1"/>
  <c r="CA98"/>
  <c r="DQ77"/>
  <c r="BI112"/>
  <c r="CB111"/>
  <c r="CC111" s="1"/>
  <c r="CD111" s="1"/>
  <c r="BI104"/>
  <c r="BI99"/>
  <c r="BI98"/>
  <c r="FG97"/>
  <c r="BG86"/>
  <c r="CA84"/>
  <c r="FG84" s="1"/>
  <c r="EF84"/>
  <c r="AL74"/>
  <c r="BJ74"/>
  <c r="G74"/>
  <c r="AS74" s="1"/>
  <c r="AN114"/>
  <c r="AN113"/>
  <c r="CH113" s="1"/>
  <c r="AN110"/>
  <c r="AN106"/>
  <c r="AN105"/>
  <c r="CH105" s="1"/>
  <c r="DP105" s="1"/>
  <c r="AN103"/>
  <c r="CH103" s="1"/>
  <c r="AN98"/>
  <c r="AY98" s="1"/>
  <c r="EH98" s="1"/>
  <c r="CI96"/>
  <c r="BW89"/>
  <c r="BG111"/>
  <c r="CE111" s="1"/>
  <c r="CF111" s="1"/>
  <c r="CG111" s="1"/>
  <c r="EF106"/>
  <c r="AN104"/>
  <c r="CH104" s="1"/>
  <c r="AN101"/>
  <c r="AM101" s="1"/>
  <c r="CI98"/>
  <c r="AN95"/>
  <c r="CH95" s="1"/>
  <c r="DP95" s="1"/>
  <c r="DG84"/>
  <c r="DH84" s="1"/>
  <c r="CB83"/>
  <c r="CC83" s="1"/>
  <c r="CD83" s="1"/>
  <c r="AN74"/>
  <c r="DA74" s="1"/>
  <c r="DE74" s="1"/>
  <c r="AN91"/>
  <c r="EG91" s="1"/>
  <c r="CB90"/>
  <c r="CC90" s="1"/>
  <c r="CD90" s="1"/>
  <c r="AN85"/>
  <c r="CI83"/>
  <c r="AN83"/>
  <c r="CH83" s="1"/>
  <c r="CI81"/>
  <c r="FW78"/>
  <c r="FX78" s="1"/>
  <c r="FW77"/>
  <c r="FX77" s="1"/>
  <c r="AN87"/>
  <c r="AN84"/>
  <c r="AM84" s="1"/>
  <c r="EP78"/>
  <c r="EO78" s="1"/>
  <c r="EM78" s="1"/>
  <c r="EQ78" s="1"/>
  <c r="EP77"/>
  <c r="EO77" s="1"/>
  <c r="EM77" s="1"/>
  <c r="EQ77" s="1"/>
  <c r="AK68"/>
  <c r="BW113"/>
  <c r="FG113"/>
  <c r="BW105"/>
  <c r="FG105"/>
  <c r="CB92"/>
  <c r="CC92" s="1"/>
  <c r="CD92" s="1"/>
  <c r="CB103"/>
  <c r="CC103" s="1"/>
  <c r="CD103" s="1"/>
  <c r="CB85"/>
  <c r="CC85" s="1"/>
  <c r="CD85" s="1"/>
  <c r="CB110"/>
  <c r="CC110" s="1"/>
  <c r="CD110" s="1"/>
  <c r="DG107"/>
  <c r="DH107" s="1"/>
  <c r="EF107"/>
  <c r="CB105"/>
  <c r="CC105" s="1"/>
  <c r="CD105" s="1"/>
  <c r="DG100"/>
  <c r="DH100" s="1"/>
  <c r="EF100"/>
  <c r="CB96"/>
  <c r="CC96" s="1"/>
  <c r="CD96" s="1"/>
  <c r="AK95"/>
  <c r="BG88"/>
  <c r="BC88" s="1"/>
  <c r="AS88"/>
  <c r="AK87"/>
  <c r="CB81"/>
  <c r="CC81" s="1"/>
  <c r="CD81" s="1"/>
  <c r="FA79"/>
  <c r="BB79"/>
  <c r="BG114"/>
  <c r="FE114" s="1"/>
  <c r="AS114"/>
  <c r="AK113"/>
  <c r="CA110"/>
  <c r="CB106"/>
  <c r="CC106" s="1"/>
  <c r="CD106" s="1"/>
  <c r="AK105"/>
  <c r="CI103"/>
  <c r="BG99"/>
  <c r="AS99"/>
  <c r="EF96"/>
  <c r="DG93"/>
  <c r="DH93" s="1"/>
  <c r="EF93"/>
  <c r="BW92"/>
  <c r="FG92"/>
  <c r="CB91"/>
  <c r="CC91" s="1"/>
  <c r="CD91" s="1"/>
  <c r="EF88"/>
  <c r="CI85"/>
  <c r="CI84"/>
  <c r="BG84"/>
  <c r="FE84" s="1"/>
  <c r="EF81"/>
  <c r="EF114"/>
  <c r="BI113"/>
  <c r="CB112"/>
  <c r="CC112" s="1"/>
  <c r="CD112" s="1"/>
  <c r="DG111"/>
  <c r="DH111" s="1"/>
  <c r="EF111"/>
  <c r="FG109"/>
  <c r="CB109"/>
  <c r="CC109" s="1"/>
  <c r="CD109" s="1"/>
  <c r="FE108"/>
  <c r="BI105"/>
  <c r="CB104"/>
  <c r="CC104" s="1"/>
  <c r="CD104" s="1"/>
  <c r="FG102"/>
  <c r="CB102"/>
  <c r="CC102" s="1"/>
  <c r="CD102" s="1"/>
  <c r="EF99"/>
  <c r="CI95"/>
  <c r="BG95"/>
  <c r="BG92"/>
  <c r="BC92" s="1"/>
  <c r="AS92"/>
  <c r="CI88"/>
  <c r="CI87"/>
  <c r="BG87"/>
  <c r="FE87" s="1"/>
  <c r="DG86"/>
  <c r="DH86" s="1"/>
  <c r="EF86"/>
  <c r="BW85"/>
  <c r="FG85"/>
  <c r="CB84"/>
  <c r="CC84" s="1"/>
  <c r="CD84" s="1"/>
  <c r="AS84"/>
  <c r="FR77"/>
  <c r="FR74"/>
  <c r="CB113"/>
  <c r="CC113" s="1"/>
  <c r="CD113" s="1"/>
  <c r="CA107"/>
  <c r="FG107" s="1"/>
  <c r="CA100"/>
  <c r="BW99"/>
  <c r="FG99"/>
  <c r="BG96"/>
  <c r="BC96" s="1"/>
  <c r="AS96"/>
  <c r="CI91"/>
  <c r="BG91"/>
  <c r="FE91" s="1"/>
  <c r="CB88"/>
  <c r="CC88" s="1"/>
  <c r="CD88" s="1"/>
  <c r="DG82"/>
  <c r="DH82" s="1"/>
  <c r="EF82"/>
  <c r="BG81"/>
  <c r="FE81" s="1"/>
  <c r="AS81"/>
  <c r="CB114"/>
  <c r="CC114" s="1"/>
  <c r="CD114" s="1"/>
  <c r="AK110"/>
  <c r="CI109"/>
  <c r="BG109"/>
  <c r="BG106"/>
  <c r="AS106"/>
  <c r="CI102"/>
  <c r="BG102"/>
  <c r="FE102" s="1"/>
  <c r="CB99"/>
  <c r="CC99" s="1"/>
  <c r="CD99" s="1"/>
  <c r="BI95"/>
  <c r="CA93"/>
  <c r="BW93" s="1"/>
  <c r="AS91"/>
  <c r="BI87"/>
  <c r="CI114"/>
  <c r="CI113"/>
  <c r="BG113"/>
  <c r="BC113" s="1"/>
  <c r="BG110"/>
  <c r="AS110"/>
  <c r="CB107"/>
  <c r="CC107" s="1"/>
  <c r="CD107" s="1"/>
  <c r="CI106"/>
  <c r="CI105"/>
  <c r="BG105"/>
  <c r="BG103"/>
  <c r="FE103" s="1"/>
  <c r="AS103"/>
  <c r="CB100"/>
  <c r="CC100" s="1"/>
  <c r="CD100" s="1"/>
  <c r="CI99"/>
  <c r="FE98"/>
  <c r="DG97"/>
  <c r="DH97" s="1"/>
  <c r="EF97"/>
  <c r="CB95"/>
  <c r="CC95" s="1"/>
  <c r="CD95" s="1"/>
  <c r="AS95"/>
  <c r="FE94"/>
  <c r="DG89"/>
  <c r="DH89" s="1"/>
  <c r="EF89"/>
  <c r="BC89"/>
  <c r="CB87"/>
  <c r="CC87" s="1"/>
  <c r="CD87" s="1"/>
  <c r="AS87"/>
  <c r="FG86"/>
  <c r="BG85"/>
  <c r="AS85"/>
  <c r="CB82"/>
  <c r="CC82" s="1"/>
  <c r="CD82" s="1"/>
  <c r="BW81"/>
  <c r="FG81"/>
  <c r="AX78"/>
  <c r="FF78" s="1"/>
  <c r="DT78" s="1"/>
  <c r="DA75"/>
  <c r="DE75" s="1"/>
  <c r="DR75" s="1"/>
  <c r="FW74"/>
  <c r="AL76"/>
  <c r="BJ76"/>
  <c r="G76"/>
  <c r="AS76" s="1"/>
  <c r="AN76"/>
  <c r="AL75"/>
  <c r="BJ75"/>
  <c r="AN73"/>
  <c r="BC73"/>
  <c r="GH78"/>
  <c r="FR78"/>
  <c r="FB76"/>
  <c r="FA75"/>
  <c r="G75"/>
  <c r="AS75" s="1"/>
  <c r="AK73"/>
  <c r="CJ79"/>
  <c r="CK79" s="1"/>
  <c r="DQ79"/>
  <c r="BB78"/>
  <c r="EF112"/>
  <c r="EF108"/>
  <c r="EF104"/>
  <c r="EF101"/>
  <c r="EF98"/>
  <c r="EF94"/>
  <c r="EF90"/>
  <c r="EF83"/>
  <c r="AL79"/>
  <c r="BJ79"/>
  <c r="EP76"/>
  <c r="EO76" s="1"/>
  <c r="EM76" s="1"/>
  <c r="EQ76" s="1"/>
  <c r="CJ75"/>
  <c r="CK75" s="1"/>
  <c r="DQ75"/>
  <c r="BB74"/>
  <c r="DQ78"/>
  <c r="DQ74"/>
  <c r="AV70"/>
  <c r="BJ70"/>
  <c r="V70"/>
  <c r="AV69"/>
  <c r="BJ69"/>
  <c r="V69"/>
  <c r="AV73"/>
  <c r="DU73" s="1"/>
  <c r="BJ73"/>
  <c r="V73"/>
  <c r="AL70"/>
  <c r="AN68"/>
  <c r="DY77" l="1"/>
  <c r="DY112"/>
  <c r="DX112"/>
  <c r="DW112"/>
  <c r="DQ100"/>
  <c r="DW100"/>
  <c r="FP78"/>
  <c r="CJ93"/>
  <c r="CK93" s="1"/>
  <c r="DX99"/>
  <c r="DY114"/>
  <c r="DQ81"/>
  <c r="CJ96"/>
  <c r="CK96" s="1"/>
  <c r="DY104"/>
  <c r="DX104"/>
  <c r="DW104"/>
  <c r="DY89"/>
  <c r="DY86"/>
  <c r="CJ92"/>
  <c r="CK92" s="1"/>
  <c r="DF79"/>
  <c r="DR79"/>
  <c r="CJ97"/>
  <c r="CK97" s="1"/>
  <c r="DY97"/>
  <c r="CJ101"/>
  <c r="CK101" s="1"/>
  <c r="DY101"/>
  <c r="CJ111"/>
  <c r="CK111" s="1"/>
  <c r="DX111"/>
  <c r="DW78"/>
  <c r="DV68"/>
  <c r="DV73"/>
  <c r="DV70"/>
  <c r="DU70"/>
  <c r="DW105"/>
  <c r="DY105"/>
  <c r="DX105"/>
  <c r="DV75"/>
  <c r="DV76"/>
  <c r="DW113"/>
  <c r="DY113"/>
  <c r="DX113"/>
  <c r="DX102"/>
  <c r="DW102"/>
  <c r="DY102"/>
  <c r="DY109"/>
  <c r="DX85"/>
  <c r="DV77"/>
  <c r="CJ110"/>
  <c r="CK110" s="1"/>
  <c r="AN72"/>
  <c r="DA72" s="1"/>
  <c r="DE72" s="1"/>
  <c r="DR72" s="1"/>
  <c r="DV72"/>
  <c r="DU72"/>
  <c r="FP74"/>
  <c r="DY75"/>
  <c r="DY103"/>
  <c r="DX103"/>
  <c r="DW103"/>
  <c r="DV79"/>
  <c r="DY79" s="1"/>
  <c r="DY95"/>
  <c r="DX95"/>
  <c r="DW95"/>
  <c r="DW84"/>
  <c r="DY83"/>
  <c r="DX83"/>
  <c r="DW83"/>
  <c r="DF74"/>
  <c r="DR74"/>
  <c r="AX74"/>
  <c r="FF74" s="1"/>
  <c r="DT74"/>
  <c r="DV74"/>
  <c r="DY74" s="1"/>
  <c r="DU74"/>
  <c r="DY80"/>
  <c r="DX80"/>
  <c r="DW80"/>
  <c r="DY108"/>
  <c r="DF77"/>
  <c r="DR77"/>
  <c r="DI77" s="1"/>
  <c r="CJ94"/>
  <c r="CK94" s="1"/>
  <c r="DX94"/>
  <c r="DQ107"/>
  <c r="AK71"/>
  <c r="DU71"/>
  <c r="DV71"/>
  <c r="DV69"/>
  <c r="DU69"/>
  <c r="DQ90"/>
  <c r="DW90"/>
  <c r="DY76"/>
  <c r="DA103"/>
  <c r="DE103" s="1"/>
  <c r="CH92"/>
  <c r="DP92" s="1"/>
  <c r="AY107"/>
  <c r="EH107" s="1"/>
  <c r="ED107" s="1"/>
  <c r="FK75"/>
  <c r="BW106"/>
  <c r="DA90"/>
  <c r="DE90" s="1"/>
  <c r="BC72"/>
  <c r="EG93"/>
  <c r="AM93"/>
  <c r="CH93"/>
  <c r="FR93" s="1"/>
  <c r="DA93"/>
  <c r="DE93" s="1"/>
  <c r="DI79"/>
  <c r="DJ79" s="1"/>
  <c r="AY109"/>
  <c r="EH109" s="1"/>
  <c r="EG109"/>
  <c r="CJ100"/>
  <c r="CK100" s="1"/>
  <c r="AX68"/>
  <c r="BA68" s="1"/>
  <c r="CH108"/>
  <c r="DP108" s="1"/>
  <c r="CH98"/>
  <c r="DW98" s="1"/>
  <c r="GG78"/>
  <c r="AY100"/>
  <c r="EH100" s="1"/>
  <c r="AY101"/>
  <c r="EH101" s="1"/>
  <c r="DQ93"/>
  <c r="AY82"/>
  <c r="EH82" s="1"/>
  <c r="BW114"/>
  <c r="FE97"/>
  <c r="DQ111"/>
  <c r="FG90"/>
  <c r="AM102"/>
  <c r="AU72"/>
  <c r="BC111"/>
  <c r="CM111" s="1"/>
  <c r="CN111" s="1"/>
  <c r="CO111" s="1"/>
  <c r="AX72"/>
  <c r="BA72" s="1"/>
  <c r="FA72" s="1"/>
  <c r="AK72"/>
  <c r="AY112"/>
  <c r="EH112" s="1"/>
  <c r="EG94"/>
  <c r="EF68"/>
  <c r="FG88"/>
  <c r="DQ97"/>
  <c r="CJ90"/>
  <c r="CK90" s="1"/>
  <c r="DA102"/>
  <c r="DE102" s="1"/>
  <c r="DR102" s="1"/>
  <c r="AY102"/>
  <c r="EH102" s="1"/>
  <c r="AY103"/>
  <c r="EH103" s="1"/>
  <c r="EG102"/>
  <c r="DQ101"/>
  <c r="DQ92"/>
  <c r="FE104"/>
  <c r="AM107"/>
  <c r="AY94"/>
  <c r="EH94" s="1"/>
  <c r="EF71"/>
  <c r="FR76"/>
  <c r="FS76" s="1"/>
  <c r="CH107"/>
  <c r="DP107" s="1"/>
  <c r="AY108"/>
  <c r="EH108" s="1"/>
  <c r="EG98"/>
  <c r="ED98" s="1"/>
  <c r="EG77"/>
  <c r="CE104"/>
  <c r="CF104" s="1"/>
  <c r="CG104" s="1"/>
  <c r="BT70"/>
  <c r="BZ70" s="1"/>
  <c r="CI71"/>
  <c r="AJ78"/>
  <c r="DA107"/>
  <c r="DE107" s="1"/>
  <c r="DR107" s="1"/>
  <c r="CH94"/>
  <c r="DY94" s="1"/>
  <c r="EG108"/>
  <c r="DQ96"/>
  <c r="BT68"/>
  <c r="BV68" s="1"/>
  <c r="DG71"/>
  <c r="DH71" s="1"/>
  <c r="BW82"/>
  <c r="FG82"/>
  <c r="BW91"/>
  <c r="FG91"/>
  <c r="AY89"/>
  <c r="EH89" s="1"/>
  <c r="AM89"/>
  <c r="EG89"/>
  <c r="DA89"/>
  <c r="DE89" s="1"/>
  <c r="BC82"/>
  <c r="CM82" s="1"/>
  <c r="CN82" s="1"/>
  <c r="CO82" s="1"/>
  <c r="CE82"/>
  <c r="CF82" s="1"/>
  <c r="CG82" s="1"/>
  <c r="FE82"/>
  <c r="AY110"/>
  <c r="EH110" s="1"/>
  <c r="DA110"/>
  <c r="DE110" s="1"/>
  <c r="CH89"/>
  <c r="DP89" s="1"/>
  <c r="DA104"/>
  <c r="DE104" s="1"/>
  <c r="DR104" s="1"/>
  <c r="EF72"/>
  <c r="FE83"/>
  <c r="AM91"/>
  <c r="BW68"/>
  <c r="CM68" s="1"/>
  <c r="CN68" s="1"/>
  <c r="CO68" s="1"/>
  <c r="CL68"/>
  <c r="AM83"/>
  <c r="DA94"/>
  <c r="DE94" s="1"/>
  <c r="DA108"/>
  <c r="DE108" s="1"/>
  <c r="BW87"/>
  <c r="BT71"/>
  <c r="BV71" s="1"/>
  <c r="CM83"/>
  <c r="CN83" s="1"/>
  <c r="CO83" s="1"/>
  <c r="BC97"/>
  <c r="CM97" s="1"/>
  <c r="CN97" s="1"/>
  <c r="CO97" s="1"/>
  <c r="DA111"/>
  <c r="DE111" s="1"/>
  <c r="DR111" s="1"/>
  <c r="DA112"/>
  <c r="DE112" s="1"/>
  <c r="DR112" s="1"/>
  <c r="AY92"/>
  <c r="EH92" s="1"/>
  <c r="AY90"/>
  <c r="EH90" s="1"/>
  <c r="DA100"/>
  <c r="DE100" s="1"/>
  <c r="DR100" s="1"/>
  <c r="CL78"/>
  <c r="CH96"/>
  <c r="DW96" s="1"/>
  <c r="CE94"/>
  <c r="CF94" s="1"/>
  <c r="CG94" s="1"/>
  <c r="AM112"/>
  <c r="FE107"/>
  <c r="DA80"/>
  <c r="DE80" s="1"/>
  <c r="DR80" s="1"/>
  <c r="EG90"/>
  <c r="CH90"/>
  <c r="EP90" s="1"/>
  <c r="EO90" s="1"/>
  <c r="EM90" s="1"/>
  <c r="EQ90" s="1"/>
  <c r="BW71"/>
  <c r="DA92"/>
  <c r="DE92" s="1"/>
  <c r="DR92" s="1"/>
  <c r="DG68"/>
  <c r="DH68" s="1"/>
  <c r="CJ81"/>
  <c r="CK81" s="1"/>
  <c r="DA83"/>
  <c r="DE83" s="1"/>
  <c r="AM96"/>
  <c r="EG96"/>
  <c r="BW94"/>
  <c r="CM94" s="1"/>
  <c r="CN94" s="1"/>
  <c r="CO94" s="1"/>
  <c r="FK79"/>
  <c r="CI68"/>
  <c r="EG112"/>
  <c r="BC93"/>
  <c r="CM93" s="1"/>
  <c r="CN93" s="1"/>
  <c r="CO93" s="1"/>
  <c r="CE83"/>
  <c r="CF83" s="1"/>
  <c r="CG83" s="1"/>
  <c r="EG92"/>
  <c r="AM100"/>
  <c r="CH100"/>
  <c r="DX100" s="1"/>
  <c r="AY83"/>
  <c r="EH83" s="1"/>
  <c r="BW84"/>
  <c r="BW104"/>
  <c r="CM104" s="1"/>
  <c r="CN104" s="1"/>
  <c r="CO104" s="1"/>
  <c r="AY96"/>
  <c r="EH96" s="1"/>
  <c r="BW110"/>
  <c r="FG110"/>
  <c r="CH87"/>
  <c r="EP87" s="1"/>
  <c r="EO87" s="1"/>
  <c r="EM87" s="1"/>
  <c r="AY87"/>
  <c r="EH87" s="1"/>
  <c r="AM87"/>
  <c r="EG87"/>
  <c r="DA87"/>
  <c r="DE87" s="1"/>
  <c r="DR87" s="1"/>
  <c r="FE80"/>
  <c r="BC80"/>
  <c r="EG99"/>
  <c r="AM99"/>
  <c r="CH99"/>
  <c r="EP99" s="1"/>
  <c r="EO99" s="1"/>
  <c r="EM99" s="1"/>
  <c r="EG111"/>
  <c r="AM111"/>
  <c r="CH111"/>
  <c r="DP111" s="1"/>
  <c r="BW95"/>
  <c r="BC71"/>
  <c r="AN71"/>
  <c r="CL71"/>
  <c r="AU71"/>
  <c r="AX71"/>
  <c r="BF71" s="1"/>
  <c r="AU69"/>
  <c r="AN69"/>
  <c r="CH69" s="1"/>
  <c r="AK69"/>
  <c r="BC69"/>
  <c r="DA88"/>
  <c r="DE88" s="1"/>
  <c r="EG88"/>
  <c r="AY88"/>
  <c r="EH88" s="1"/>
  <c r="CH88"/>
  <c r="EP88" s="1"/>
  <c r="EO88" s="1"/>
  <c r="EM88" s="1"/>
  <c r="EQ88" s="1"/>
  <c r="AY97"/>
  <c r="EH97" s="1"/>
  <c r="DA97"/>
  <c r="DE97" s="1"/>
  <c r="DR97" s="1"/>
  <c r="CH97"/>
  <c r="EP97" s="1"/>
  <c r="EO97" s="1"/>
  <c r="EM97" s="1"/>
  <c r="EG97"/>
  <c r="CH81"/>
  <c r="DX81" s="1"/>
  <c r="EG81"/>
  <c r="DA81"/>
  <c r="DE81" s="1"/>
  <c r="DR81" s="1"/>
  <c r="AY81"/>
  <c r="EH81" s="1"/>
  <c r="BW72"/>
  <c r="CL72"/>
  <c r="BT72"/>
  <c r="BZ72" s="1"/>
  <c r="FG101"/>
  <c r="BW101"/>
  <c r="CE108"/>
  <c r="CF108" s="1"/>
  <c r="CG108" s="1"/>
  <c r="BW108"/>
  <c r="CM108" s="1"/>
  <c r="CN108" s="1"/>
  <c r="CO108" s="1"/>
  <c r="CE86"/>
  <c r="CF86" s="1"/>
  <c r="CG86" s="1"/>
  <c r="FE86"/>
  <c r="EG82"/>
  <c r="CH82"/>
  <c r="DY82" s="1"/>
  <c r="CM90"/>
  <c r="CN90" s="1"/>
  <c r="CO90" s="1"/>
  <c r="FG108"/>
  <c r="BC114"/>
  <c r="DA113"/>
  <c r="DE113" s="1"/>
  <c r="FG83"/>
  <c r="AY84"/>
  <c r="EH84" s="1"/>
  <c r="FE111"/>
  <c r="AY105"/>
  <c r="EH105" s="1"/>
  <c r="DQ110"/>
  <c r="BW112"/>
  <c r="BC101"/>
  <c r="FK76"/>
  <c r="GD74"/>
  <c r="FL74"/>
  <c r="GE74" s="1"/>
  <c r="FQ74"/>
  <c r="GC74"/>
  <c r="CI72"/>
  <c r="DA82"/>
  <c r="DE82" s="1"/>
  <c r="DR82" s="1"/>
  <c r="AM80"/>
  <c r="DG72"/>
  <c r="DH72" s="1"/>
  <c r="AY99"/>
  <c r="EH99" s="1"/>
  <c r="CH86"/>
  <c r="DP86" s="1"/>
  <c r="AY80"/>
  <c r="EH80" s="1"/>
  <c r="CE101"/>
  <c r="CF101" s="1"/>
  <c r="CG101" s="1"/>
  <c r="DA99"/>
  <c r="DE99" s="1"/>
  <c r="DR99" s="1"/>
  <c r="CJ107"/>
  <c r="CK107" s="1"/>
  <c r="EG80"/>
  <c r="FR79"/>
  <c r="FS79" s="1"/>
  <c r="DF78"/>
  <c r="DI78"/>
  <c r="CH109"/>
  <c r="DW109" s="1"/>
  <c r="DA109"/>
  <c r="DE109" s="1"/>
  <c r="DR109" s="1"/>
  <c r="BW80"/>
  <c r="EG78"/>
  <c r="EG84"/>
  <c r="CE90"/>
  <c r="CF90" s="1"/>
  <c r="CG90" s="1"/>
  <c r="EG105"/>
  <c r="AM113"/>
  <c r="AM95"/>
  <c r="EG101"/>
  <c r="CH101"/>
  <c r="EP101" s="1"/>
  <c r="EO101" s="1"/>
  <c r="EM101" s="1"/>
  <c r="EP105"/>
  <c r="EO105" s="1"/>
  <c r="EM105" s="1"/>
  <c r="DP113"/>
  <c r="CE80"/>
  <c r="CF80" s="1"/>
  <c r="CG80" s="1"/>
  <c r="DQ94"/>
  <c r="AM86"/>
  <c r="EG86"/>
  <c r="AY86"/>
  <c r="EH86" s="1"/>
  <c r="BW96"/>
  <c r="CM96" s="1"/>
  <c r="CN96" s="1"/>
  <c r="CO96" s="1"/>
  <c r="BC112"/>
  <c r="FE90"/>
  <c r="DA95"/>
  <c r="DE95" s="1"/>
  <c r="AY113"/>
  <c r="EH113" s="1"/>
  <c r="DI74"/>
  <c r="FM74" s="1"/>
  <c r="AY95"/>
  <c r="EH95" s="1"/>
  <c r="DA101"/>
  <c r="DE101" s="1"/>
  <c r="BC100"/>
  <c r="CE93"/>
  <c r="CF93" s="1"/>
  <c r="CG93" s="1"/>
  <c r="AM105"/>
  <c r="EG113"/>
  <c r="EG95"/>
  <c r="DA105"/>
  <c r="DE105" s="1"/>
  <c r="CJ80"/>
  <c r="CK80" s="1"/>
  <c r="DQ80"/>
  <c r="DQ108"/>
  <c r="CJ108"/>
  <c r="CK108" s="1"/>
  <c r="CJ82"/>
  <c r="CK82" s="1"/>
  <c r="DQ82"/>
  <c r="EG85"/>
  <c r="AM85"/>
  <c r="CJ83"/>
  <c r="CK83" s="1"/>
  <c r="FR83" s="1"/>
  <c r="DQ83"/>
  <c r="DQ98"/>
  <c r="CJ98"/>
  <c r="CK98" s="1"/>
  <c r="EG103"/>
  <c r="AM103"/>
  <c r="EG110"/>
  <c r="AM110"/>
  <c r="CL74"/>
  <c r="BT74"/>
  <c r="FH74" s="1"/>
  <c r="BW98"/>
  <c r="CM98" s="1"/>
  <c r="CN98" s="1"/>
  <c r="CO98" s="1"/>
  <c r="FG98"/>
  <c r="CJ112"/>
  <c r="CK112" s="1"/>
  <c r="FR112" s="1"/>
  <c r="DQ112"/>
  <c r="CH91"/>
  <c r="DW91" s="1"/>
  <c r="DA91"/>
  <c r="DE91" s="1"/>
  <c r="DR91" s="1"/>
  <c r="AM106"/>
  <c r="CH106"/>
  <c r="DY106" s="1"/>
  <c r="DA106"/>
  <c r="DE106" s="1"/>
  <c r="DR106" s="1"/>
  <c r="EG106"/>
  <c r="AY106"/>
  <c r="EH106" s="1"/>
  <c r="AM114"/>
  <c r="CH114"/>
  <c r="DW114" s="1"/>
  <c r="DA114"/>
  <c r="DE114" s="1"/>
  <c r="DR114" s="1"/>
  <c r="EG114"/>
  <c r="AY114"/>
  <c r="EH114" s="1"/>
  <c r="CJ104"/>
  <c r="CK104" s="1"/>
  <c r="FR104" s="1"/>
  <c r="DQ104"/>
  <c r="DQ89"/>
  <c r="CJ89"/>
  <c r="CK89" s="1"/>
  <c r="FR89" s="1"/>
  <c r="DQ86"/>
  <c r="CJ86"/>
  <c r="CK86" s="1"/>
  <c r="AJ77"/>
  <c r="AX77"/>
  <c r="DA84"/>
  <c r="DE84" s="1"/>
  <c r="DR84" s="1"/>
  <c r="CH84"/>
  <c r="DX84" s="1"/>
  <c r="AJ74"/>
  <c r="FR75"/>
  <c r="FS75" s="1"/>
  <c r="BT77"/>
  <c r="FH77" s="1"/>
  <c r="BC86"/>
  <c r="CM86" s="1"/>
  <c r="CN86" s="1"/>
  <c r="CO86" s="1"/>
  <c r="AM104"/>
  <c r="DA98"/>
  <c r="DE98" s="1"/>
  <c r="CL77"/>
  <c r="AY85"/>
  <c r="EH85" s="1"/>
  <c r="DA85"/>
  <c r="DE85" s="1"/>
  <c r="BW103"/>
  <c r="FG104"/>
  <c r="CH110"/>
  <c r="DP110" s="1"/>
  <c r="AY104"/>
  <c r="EH104" s="1"/>
  <c r="BC103"/>
  <c r="AM98"/>
  <c r="EG74"/>
  <c r="CE98"/>
  <c r="CF98" s="1"/>
  <c r="CG98" s="1"/>
  <c r="CE112"/>
  <c r="CF112" s="1"/>
  <c r="CG112" s="1"/>
  <c r="CH85"/>
  <c r="DP85" s="1"/>
  <c r="AY91"/>
  <c r="EH91" s="1"/>
  <c r="EG104"/>
  <c r="EG83"/>
  <c r="CM113"/>
  <c r="CN113" s="1"/>
  <c r="CO113" s="1"/>
  <c r="CM88"/>
  <c r="CN88" s="1"/>
  <c r="CO88" s="1"/>
  <c r="CJ85"/>
  <c r="CK85" s="1"/>
  <c r="DQ85"/>
  <c r="BW69"/>
  <c r="CL69"/>
  <c r="DG69"/>
  <c r="DH69" s="1"/>
  <c r="AJ75"/>
  <c r="AX75"/>
  <c r="CL75"/>
  <c r="CJ106"/>
  <c r="CK106" s="1"/>
  <c r="DQ106"/>
  <c r="CE110"/>
  <c r="CF110" s="1"/>
  <c r="CG110" s="1"/>
  <c r="CJ113"/>
  <c r="CK113" s="1"/>
  <c r="FR113" s="1"/>
  <c r="DQ113"/>
  <c r="CJ109"/>
  <c r="CK109" s="1"/>
  <c r="DQ109"/>
  <c r="CE96"/>
  <c r="CF96" s="1"/>
  <c r="CG96" s="1"/>
  <c r="BW100"/>
  <c r="CE100"/>
  <c r="CF100" s="1"/>
  <c r="CG100" s="1"/>
  <c r="CJ88"/>
  <c r="CK88" s="1"/>
  <c r="DQ88"/>
  <c r="CE95"/>
  <c r="CF95" s="1"/>
  <c r="CG95" s="1"/>
  <c r="BC95"/>
  <c r="CE99"/>
  <c r="CF99" s="1"/>
  <c r="CG99" s="1"/>
  <c r="EP113"/>
  <c r="EO113" s="1"/>
  <c r="EM113" s="1"/>
  <c r="EQ113" s="1"/>
  <c r="AN70"/>
  <c r="BC70"/>
  <c r="AK70"/>
  <c r="CL70"/>
  <c r="AU70"/>
  <c r="BW73"/>
  <c r="CM73" s="1"/>
  <c r="CN73" s="1"/>
  <c r="CO73" s="1"/>
  <c r="DG73"/>
  <c r="DH73" s="1"/>
  <c r="CL73"/>
  <c r="BT73"/>
  <c r="AS69"/>
  <c r="AX69"/>
  <c r="CI69"/>
  <c r="EF69"/>
  <c r="BW70"/>
  <c r="DG70"/>
  <c r="DH70" s="1"/>
  <c r="BT69"/>
  <c r="AJ79"/>
  <c r="AX79"/>
  <c r="CL79"/>
  <c r="DB74"/>
  <c r="AY74"/>
  <c r="EH74" s="1"/>
  <c r="FS78"/>
  <c r="CH73"/>
  <c r="DA73"/>
  <c r="DE73" s="1"/>
  <c r="DR73" s="1"/>
  <c r="EG73"/>
  <c r="DA76"/>
  <c r="DE76" s="1"/>
  <c r="DR76" s="1"/>
  <c r="EG76"/>
  <c r="FX74"/>
  <c r="AY78"/>
  <c r="EH78" s="1"/>
  <c r="DB78"/>
  <c r="CE85"/>
  <c r="CF85" s="1"/>
  <c r="CG85" s="1"/>
  <c r="CM89"/>
  <c r="CN89" s="1"/>
  <c r="CO89" s="1"/>
  <c r="FE95"/>
  <c r="DF96"/>
  <c r="CE105"/>
  <c r="CF105" s="1"/>
  <c r="CG105" s="1"/>
  <c r="DP112"/>
  <c r="EP112"/>
  <c r="EO112" s="1"/>
  <c r="EM112" s="1"/>
  <c r="GF77"/>
  <c r="GG77"/>
  <c r="GH77"/>
  <c r="FG100"/>
  <c r="CJ102"/>
  <c r="CK102" s="1"/>
  <c r="FR102" s="1"/>
  <c r="DQ102"/>
  <c r="CE81"/>
  <c r="CF81" s="1"/>
  <c r="CG81" s="1"/>
  <c r="BW107"/>
  <c r="CM107" s="1"/>
  <c r="CN107" s="1"/>
  <c r="CO107" s="1"/>
  <c r="CE107"/>
  <c r="CF107" s="1"/>
  <c r="CG107" s="1"/>
  <c r="CE87"/>
  <c r="CF87" s="1"/>
  <c r="CG87" s="1"/>
  <c r="BC87"/>
  <c r="CE92"/>
  <c r="CF92" s="1"/>
  <c r="CG92" s="1"/>
  <c r="FG93"/>
  <c r="CJ95"/>
  <c r="CK95" s="1"/>
  <c r="FR95" s="1"/>
  <c r="DQ95"/>
  <c r="CJ84"/>
  <c r="CK84" s="1"/>
  <c r="DQ84"/>
  <c r="FE96"/>
  <c r="BC105"/>
  <c r="BC81"/>
  <c r="EP95"/>
  <c r="EO95" s="1"/>
  <c r="EM95" s="1"/>
  <c r="BC85"/>
  <c r="FX76"/>
  <c r="BT75"/>
  <c r="FH75" s="1"/>
  <c r="BT76"/>
  <c r="FH76" s="1"/>
  <c r="DF75"/>
  <c r="DI75"/>
  <c r="CE113"/>
  <c r="CF113" s="1"/>
  <c r="CG113" s="1"/>
  <c r="CE106"/>
  <c r="CF106" s="1"/>
  <c r="CG106" s="1"/>
  <c r="CE109"/>
  <c r="CF109" s="1"/>
  <c r="CG109" s="1"/>
  <c r="BC109"/>
  <c r="CE91"/>
  <c r="CF91" s="1"/>
  <c r="CG91" s="1"/>
  <c r="FE113"/>
  <c r="FS74"/>
  <c r="FQ77"/>
  <c r="GC77"/>
  <c r="GD77"/>
  <c r="FL77"/>
  <c r="GE77" s="1"/>
  <c r="BC91"/>
  <c r="DP103"/>
  <c r="EP103"/>
  <c r="EO103" s="1"/>
  <c r="EM103" s="1"/>
  <c r="FE106"/>
  <c r="CE88"/>
  <c r="CF88" s="1"/>
  <c r="CG88" s="1"/>
  <c r="DP104"/>
  <c r="EP104"/>
  <c r="EO104" s="1"/>
  <c r="EM104" s="1"/>
  <c r="EQ104" s="1"/>
  <c r="CM92"/>
  <c r="CN92" s="1"/>
  <c r="CO92" s="1"/>
  <c r="CH68"/>
  <c r="DA68"/>
  <c r="DE68" s="1"/>
  <c r="DR68" s="1"/>
  <c r="EG68"/>
  <c r="BT79"/>
  <c r="FH79" s="1"/>
  <c r="EG79"/>
  <c r="CL76"/>
  <c r="AX76"/>
  <c r="AJ76"/>
  <c r="CE102"/>
  <c r="CF102" s="1"/>
  <c r="CG102" s="1"/>
  <c r="BC102"/>
  <c r="CJ91"/>
  <c r="CK91" s="1"/>
  <c r="DQ91"/>
  <c r="FS77"/>
  <c r="FE109"/>
  <c r="GJ77"/>
  <c r="GK77"/>
  <c r="GI77"/>
  <c r="CE84"/>
  <c r="CF84" s="1"/>
  <c r="CG84" s="1"/>
  <c r="BC84"/>
  <c r="DP83"/>
  <c r="EP83"/>
  <c r="EO83" s="1"/>
  <c r="EM83" s="1"/>
  <c r="EQ83" s="1"/>
  <c r="GK78"/>
  <c r="GI78"/>
  <c r="GJ78"/>
  <c r="AS73"/>
  <c r="AX73"/>
  <c r="CI73"/>
  <c r="EF73"/>
  <c r="AS70"/>
  <c r="AX70"/>
  <c r="CI70"/>
  <c r="EF70"/>
  <c r="FQ78"/>
  <c r="GC78"/>
  <c r="FL78"/>
  <c r="GE78" s="1"/>
  <c r="GD78"/>
  <c r="EG75"/>
  <c r="DF86"/>
  <c r="CJ99"/>
  <c r="CK99" s="1"/>
  <c r="DQ99"/>
  <c r="CE103"/>
  <c r="CF103" s="1"/>
  <c r="CG103" s="1"/>
  <c r="CJ105"/>
  <c r="CK105" s="1"/>
  <c r="FR105" s="1"/>
  <c r="DQ105"/>
  <c r="CJ114"/>
  <c r="CK114" s="1"/>
  <c r="DQ114"/>
  <c r="FE88"/>
  <c r="BC99"/>
  <c r="DP80"/>
  <c r="EP80"/>
  <c r="EO80" s="1"/>
  <c r="EM80" s="1"/>
  <c r="CJ87"/>
  <c r="CK87" s="1"/>
  <c r="DQ87"/>
  <c r="FW75"/>
  <c r="CJ103"/>
  <c r="CK103" s="1"/>
  <c r="FR103" s="1"/>
  <c r="DQ103"/>
  <c r="BC106"/>
  <c r="CE114"/>
  <c r="CF114" s="1"/>
  <c r="CG114" s="1"/>
  <c r="EP102"/>
  <c r="EO102" s="1"/>
  <c r="EM102" s="1"/>
  <c r="FE105"/>
  <c r="FW79"/>
  <c r="FE110"/>
  <c r="BC110"/>
  <c r="FE85"/>
  <c r="FE99"/>
  <c r="FE92"/>
  <c r="DZ109" l="1"/>
  <c r="DF85"/>
  <c r="DR85"/>
  <c r="DF95"/>
  <c r="DR95"/>
  <c r="DQ72"/>
  <c r="DY72"/>
  <c r="DF108"/>
  <c r="DR108"/>
  <c r="DF90"/>
  <c r="DR90"/>
  <c r="DY73"/>
  <c r="DX73"/>
  <c r="DU78"/>
  <c r="DX78"/>
  <c r="DF98"/>
  <c r="DR98"/>
  <c r="DF88"/>
  <c r="DR88"/>
  <c r="DF89"/>
  <c r="DR89"/>
  <c r="DF93"/>
  <c r="DR93"/>
  <c r="DY107"/>
  <c r="EB107" s="1"/>
  <c r="DY98"/>
  <c r="EB98" s="1"/>
  <c r="DY88"/>
  <c r="EA103"/>
  <c r="DY87"/>
  <c r="EB87" s="1"/>
  <c r="EA102"/>
  <c r="EB97"/>
  <c r="EB114"/>
  <c r="DW93"/>
  <c r="DZ112"/>
  <c r="CH72"/>
  <c r="DX72" s="1"/>
  <c r="EG72"/>
  <c r="DY90"/>
  <c r="DX107"/>
  <c r="EA107" s="1"/>
  <c r="DW94"/>
  <c r="FP77"/>
  <c r="DX108"/>
  <c r="EA108" s="1"/>
  <c r="DW74"/>
  <c r="DX88"/>
  <c r="DX106"/>
  <c r="DX87"/>
  <c r="EA87" s="1"/>
  <c r="DX110"/>
  <c r="EA110" s="1"/>
  <c r="DX109"/>
  <c r="DZ113"/>
  <c r="DW111"/>
  <c r="DX101"/>
  <c r="DX97"/>
  <c r="EA97" s="1"/>
  <c r="DY92"/>
  <c r="DX82"/>
  <c r="DX89"/>
  <c r="DY96"/>
  <c r="DW81"/>
  <c r="DY91"/>
  <c r="DW99"/>
  <c r="DY93"/>
  <c r="EB93" s="1"/>
  <c r="DF101"/>
  <c r="DR101"/>
  <c r="FL79"/>
  <c r="GE79" s="1"/>
  <c r="FP79"/>
  <c r="DF83"/>
  <c r="DR83"/>
  <c r="DF110"/>
  <c r="DR110"/>
  <c r="DQ71"/>
  <c r="DY71"/>
  <c r="DX71"/>
  <c r="GD75"/>
  <c r="FP75"/>
  <c r="DW107"/>
  <c r="DW108"/>
  <c r="DZ108" s="1"/>
  <c r="DX98"/>
  <c r="DY84"/>
  <c r="DW88"/>
  <c r="DW106"/>
  <c r="DW87"/>
  <c r="DW110"/>
  <c r="DZ110" s="1"/>
  <c r="DW85"/>
  <c r="EB113"/>
  <c r="DX92"/>
  <c r="DW82"/>
  <c r="DX86"/>
  <c r="DX96"/>
  <c r="DY81"/>
  <c r="DX91"/>
  <c r="DX114"/>
  <c r="DX93"/>
  <c r="FO78"/>
  <c r="DY100"/>
  <c r="DY69"/>
  <c r="DX69"/>
  <c r="DF105"/>
  <c r="DR105"/>
  <c r="GC76"/>
  <c r="FP76"/>
  <c r="DF113"/>
  <c r="DR113"/>
  <c r="DI113" s="1"/>
  <c r="DJ113" s="1"/>
  <c r="DL113" s="1"/>
  <c r="DN113" s="1"/>
  <c r="DQ68"/>
  <c r="DY68"/>
  <c r="DX68"/>
  <c r="DF94"/>
  <c r="DR94"/>
  <c r="DF103"/>
  <c r="DR103"/>
  <c r="DI103" s="1"/>
  <c r="DJ103" s="1"/>
  <c r="DX74"/>
  <c r="DX90"/>
  <c r="DY110"/>
  <c r="EB110" s="1"/>
  <c r="DY85"/>
  <c r="DY111"/>
  <c r="DW101"/>
  <c r="DW97"/>
  <c r="DZ97" s="1"/>
  <c r="DW92"/>
  <c r="DW86"/>
  <c r="DW89"/>
  <c r="DZ89" s="1"/>
  <c r="DY99"/>
  <c r="FR92"/>
  <c r="FS92" s="1"/>
  <c r="FK92"/>
  <c r="EP92"/>
  <c r="EO92" s="1"/>
  <c r="EM92" s="1"/>
  <c r="EQ92" s="1"/>
  <c r="ES92" s="1"/>
  <c r="EU92" s="1"/>
  <c r="FW92"/>
  <c r="AY68"/>
  <c r="EH68" s="1"/>
  <c r="FQ75"/>
  <c r="CM72"/>
  <c r="CN72" s="1"/>
  <c r="CO72" s="1"/>
  <c r="GC75"/>
  <c r="FL75"/>
  <c r="GE75" s="1"/>
  <c r="FQ79"/>
  <c r="FR99"/>
  <c r="FS99" s="1"/>
  <c r="FW111"/>
  <c r="FX111" s="1"/>
  <c r="AY72"/>
  <c r="EH72" s="1"/>
  <c r="DF80"/>
  <c r="DP93"/>
  <c r="DI93" s="1"/>
  <c r="DJ93" s="1"/>
  <c r="EP93"/>
  <c r="EO93" s="1"/>
  <c r="EM93" s="1"/>
  <c r="EQ93" s="1"/>
  <c r="ES93" s="1"/>
  <c r="DI105"/>
  <c r="DJ105" s="1"/>
  <c r="ED95"/>
  <c r="EC95" s="1"/>
  <c r="EA95" s="1"/>
  <c r="FK93"/>
  <c r="FW93"/>
  <c r="FX93" s="1"/>
  <c r="FF72"/>
  <c r="DT72" s="1"/>
  <c r="BZ71"/>
  <c r="CB71" s="1"/>
  <c r="CC71" s="1"/>
  <c r="CD71" s="1"/>
  <c r="FW83"/>
  <c r="FX83" s="1"/>
  <c r="BG72"/>
  <c r="EP107"/>
  <c r="EO107" s="1"/>
  <c r="EM107" s="1"/>
  <c r="EQ107" s="1"/>
  <c r="ES107" s="1"/>
  <c r="EU107" s="1"/>
  <c r="DF82"/>
  <c r="EP108"/>
  <c r="EO108" s="1"/>
  <c r="EM108" s="1"/>
  <c r="EQ108" s="1"/>
  <c r="ES108" s="1"/>
  <c r="EU108" s="1"/>
  <c r="CM112"/>
  <c r="CN112" s="1"/>
  <c r="CO112" s="1"/>
  <c r="FK112" s="1"/>
  <c r="BB72"/>
  <c r="BF72"/>
  <c r="CB72" s="1"/>
  <c r="CC72" s="1"/>
  <c r="CD72" s="1"/>
  <c r="EP111"/>
  <c r="EO111" s="1"/>
  <c r="EM111" s="1"/>
  <c r="EG69"/>
  <c r="BV70"/>
  <c r="CA70" s="1"/>
  <c r="FG70" s="1"/>
  <c r="FR111"/>
  <c r="FS111" s="1"/>
  <c r="CJ68"/>
  <c r="CK68" s="1"/>
  <c r="FK68" s="1"/>
  <c r="GH96"/>
  <c r="GH113"/>
  <c r="EE98"/>
  <c r="EC98"/>
  <c r="DZ98" s="1"/>
  <c r="EP86"/>
  <c r="EO86" s="1"/>
  <c r="EM86" s="1"/>
  <c r="EQ86" s="1"/>
  <c r="ES86" s="1"/>
  <c r="EU86" s="1"/>
  <c r="CJ71"/>
  <c r="CK71" s="1"/>
  <c r="DP82"/>
  <c r="DI82" s="1"/>
  <c r="DJ82" s="1"/>
  <c r="ED109"/>
  <c r="EC109" s="1"/>
  <c r="EB109" s="1"/>
  <c r="BV72"/>
  <c r="FB72" s="1"/>
  <c r="EP82"/>
  <c r="EO82" s="1"/>
  <c r="EM82" s="1"/>
  <c r="EQ82" s="1"/>
  <c r="ES82" s="1"/>
  <c r="EU82" s="1"/>
  <c r="FW108"/>
  <c r="FX108" s="1"/>
  <c r="DI89"/>
  <c r="FR97"/>
  <c r="FS97" s="1"/>
  <c r="CM71"/>
  <c r="CN71" s="1"/>
  <c r="CO71" s="1"/>
  <c r="ED96"/>
  <c r="EC96" s="1"/>
  <c r="DZ96" s="1"/>
  <c r="FK111"/>
  <c r="FR90"/>
  <c r="FT90" s="1"/>
  <c r="ED93"/>
  <c r="EC93" s="1"/>
  <c r="DP90"/>
  <c r="DP88"/>
  <c r="BF68"/>
  <c r="DF100"/>
  <c r="DF111"/>
  <c r="CM114"/>
  <c r="CN114" s="1"/>
  <c r="CO114" s="1"/>
  <c r="FK114" s="1"/>
  <c r="ED94"/>
  <c r="EE94" s="1"/>
  <c r="DF104"/>
  <c r="ED81"/>
  <c r="EC81" s="1"/>
  <c r="EA81" s="1"/>
  <c r="FW112"/>
  <c r="FX112" s="1"/>
  <c r="BZ68"/>
  <c r="CM100"/>
  <c r="CN100" s="1"/>
  <c r="CO100" s="1"/>
  <c r="FK100" s="1"/>
  <c r="CM69"/>
  <c r="CN69" s="1"/>
  <c r="CO69" s="1"/>
  <c r="EP98"/>
  <c r="EO98" s="1"/>
  <c r="EM98" s="1"/>
  <c r="EQ98" s="1"/>
  <c r="ES98" s="1"/>
  <c r="ED89"/>
  <c r="EC89" s="1"/>
  <c r="EB89" s="1"/>
  <c r="ED108"/>
  <c r="EC108" s="1"/>
  <c r="EB108" s="1"/>
  <c r="GH102"/>
  <c r="DP98"/>
  <c r="DF102"/>
  <c r="FW94"/>
  <c r="FX94" s="1"/>
  <c r="FQ76"/>
  <c r="FR98"/>
  <c r="FS98" s="1"/>
  <c r="ED100"/>
  <c r="EE100" s="1"/>
  <c r="EJ100" s="1"/>
  <c r="DP97"/>
  <c r="DI97" s="1"/>
  <c r="DJ97" s="1"/>
  <c r="DI95"/>
  <c r="DJ95" s="1"/>
  <c r="FR107"/>
  <c r="FV107" s="1"/>
  <c r="FK107"/>
  <c r="DF87"/>
  <c r="FK96"/>
  <c r="FW80"/>
  <c r="FX80" s="1"/>
  <c r="FK97"/>
  <c r="FR94"/>
  <c r="FS94" s="1"/>
  <c r="EP94"/>
  <c r="EO94" s="1"/>
  <c r="EM94" s="1"/>
  <c r="EQ94" s="1"/>
  <c r="ES94" s="1"/>
  <c r="EU94" s="1"/>
  <c r="DF107"/>
  <c r="DA69"/>
  <c r="DE69" s="1"/>
  <c r="DR69" s="1"/>
  <c r="BA71"/>
  <c r="BG71" s="1"/>
  <c r="FE71" s="1"/>
  <c r="EQ97"/>
  <c r="ES97" s="1"/>
  <c r="EU97" s="1"/>
  <c r="FR84"/>
  <c r="FU84" s="1"/>
  <c r="DI110"/>
  <c r="DJ110" s="1"/>
  <c r="FW100"/>
  <c r="FX100" s="1"/>
  <c r="FR100"/>
  <c r="FS100" s="1"/>
  <c r="FW86"/>
  <c r="FX86" s="1"/>
  <c r="FW104"/>
  <c r="FX104" s="1"/>
  <c r="DP94"/>
  <c r="DI108"/>
  <c r="DJ108" s="1"/>
  <c r="FR80"/>
  <c r="FS80" s="1"/>
  <c r="FK94"/>
  <c r="AY71"/>
  <c r="EH71" s="1"/>
  <c r="DP101"/>
  <c r="FR101"/>
  <c r="FV101" s="1"/>
  <c r="GD76"/>
  <c r="FL76"/>
  <c r="GE76" s="1"/>
  <c r="DF81"/>
  <c r="FW97"/>
  <c r="FX97" s="1"/>
  <c r="DP99"/>
  <c r="DP100"/>
  <c r="EP100"/>
  <c r="EO100" s="1"/>
  <c r="EM100" s="1"/>
  <c r="EQ100" s="1"/>
  <c r="ES100" s="1"/>
  <c r="EU100" s="1"/>
  <c r="DF92"/>
  <c r="ED99"/>
  <c r="EP89"/>
  <c r="EO89" s="1"/>
  <c r="EM89" s="1"/>
  <c r="EQ89" s="1"/>
  <c r="ES89" s="1"/>
  <c r="EU89" s="1"/>
  <c r="ED82"/>
  <c r="EE82" s="1"/>
  <c r="EJ82" s="1"/>
  <c r="ED90"/>
  <c r="EE90" s="1"/>
  <c r="EJ90" s="1"/>
  <c r="DF72"/>
  <c r="ED111"/>
  <c r="EC111" s="1"/>
  <c r="EA111" s="1"/>
  <c r="FW82"/>
  <c r="FX82" s="1"/>
  <c r="FR87"/>
  <c r="FS87" s="1"/>
  <c r="EQ80"/>
  <c r="ES80" s="1"/>
  <c r="EU80" s="1"/>
  <c r="FW107"/>
  <c r="GA107" s="1"/>
  <c r="CM80"/>
  <c r="CN80" s="1"/>
  <c r="CO80" s="1"/>
  <c r="FK80" s="1"/>
  <c r="FR88"/>
  <c r="FS88" s="1"/>
  <c r="FR85"/>
  <c r="ED80"/>
  <c r="EC80" s="1"/>
  <c r="DZ80" s="1"/>
  <c r="CM101"/>
  <c r="CN101" s="1"/>
  <c r="CO101" s="1"/>
  <c r="FK101" s="1"/>
  <c r="ED97"/>
  <c r="EC97" s="1"/>
  <c r="FM79"/>
  <c r="ED92"/>
  <c r="EC92" s="1"/>
  <c r="DF97"/>
  <c r="FK90"/>
  <c r="FW90"/>
  <c r="FY90" s="1"/>
  <c r="DF91"/>
  <c r="ED88"/>
  <c r="EE88" s="1"/>
  <c r="EJ88" s="1"/>
  <c r="GC79"/>
  <c r="FW96"/>
  <c r="FX96" s="1"/>
  <c r="DF112"/>
  <c r="DP96"/>
  <c r="EQ101"/>
  <c r="ES101" s="1"/>
  <c r="EU101" s="1"/>
  <c r="GD79"/>
  <c r="EP96"/>
  <c r="EO96" s="1"/>
  <c r="EM96" s="1"/>
  <c r="EQ96" s="1"/>
  <c r="ES96" s="1"/>
  <c r="EU96" s="1"/>
  <c r="DI85"/>
  <c r="DJ85" s="1"/>
  <c r="FR96"/>
  <c r="EP81"/>
  <c r="EO81" s="1"/>
  <c r="EM81" s="1"/>
  <c r="EQ81" s="1"/>
  <c r="DP81"/>
  <c r="DA71"/>
  <c r="DE71" s="1"/>
  <c r="DR71" s="1"/>
  <c r="CH71"/>
  <c r="EG71"/>
  <c r="DP87"/>
  <c r="ED78"/>
  <c r="EE78" s="1"/>
  <c r="EJ78" s="1"/>
  <c r="FK104"/>
  <c r="FR81"/>
  <c r="ED84"/>
  <c r="EC84" s="1"/>
  <c r="EA84" s="1"/>
  <c r="FW81"/>
  <c r="FX81" s="1"/>
  <c r="FR109"/>
  <c r="FS109" s="1"/>
  <c r="ED113"/>
  <c r="EC113" s="1"/>
  <c r="EA113" s="1"/>
  <c r="DP72"/>
  <c r="CJ72"/>
  <c r="CK72" s="1"/>
  <c r="DF99"/>
  <c r="FW101"/>
  <c r="FX101" s="1"/>
  <c r="EP72"/>
  <c r="EO72" s="1"/>
  <c r="EM72" s="1"/>
  <c r="EQ72" s="1"/>
  <c r="ES72" s="1"/>
  <c r="FK83"/>
  <c r="GH105"/>
  <c r="FW109"/>
  <c r="FX109" s="1"/>
  <c r="DI102"/>
  <c r="DJ102" s="1"/>
  <c r="CM103"/>
  <c r="CN103" s="1"/>
  <c r="CO103" s="1"/>
  <c r="FK103" s="1"/>
  <c r="DJ77"/>
  <c r="FM77"/>
  <c r="DJ78"/>
  <c r="DL78" s="1"/>
  <c r="FM78"/>
  <c r="EP110"/>
  <c r="EO110" s="1"/>
  <c r="EM110" s="1"/>
  <c r="EQ110" s="1"/>
  <c r="EP85"/>
  <c r="EO85" s="1"/>
  <c r="EM85" s="1"/>
  <c r="EQ85" s="1"/>
  <c r="FW89"/>
  <c r="FX89" s="1"/>
  <c r="ED101"/>
  <c r="EE101" s="1"/>
  <c r="EJ101" s="1"/>
  <c r="DF109"/>
  <c r="EP109"/>
  <c r="EO109" s="1"/>
  <c r="EM109" s="1"/>
  <c r="EQ109" s="1"/>
  <c r="DP109"/>
  <c r="EQ112"/>
  <c r="ES112" s="1"/>
  <c r="FK86"/>
  <c r="FR86"/>
  <c r="FS86" s="1"/>
  <c r="FR82"/>
  <c r="FS82" s="1"/>
  <c r="ED114"/>
  <c r="EC114" s="1"/>
  <c r="DZ114" s="1"/>
  <c r="FK98"/>
  <c r="ED112"/>
  <c r="EC112" s="1"/>
  <c r="EB112" s="1"/>
  <c r="FR110"/>
  <c r="FS110" s="1"/>
  <c r="FW85"/>
  <c r="FY85" s="1"/>
  <c r="FK89"/>
  <c r="FR108"/>
  <c r="FS108" s="1"/>
  <c r="FW98"/>
  <c r="FX98" s="1"/>
  <c r="ED86"/>
  <c r="DJ75"/>
  <c r="FM75"/>
  <c r="DP84"/>
  <c r="EP84"/>
  <c r="EO84" s="1"/>
  <c r="EM84" s="1"/>
  <c r="EQ84" s="1"/>
  <c r="DP106"/>
  <c r="FF77"/>
  <c r="AY77"/>
  <c r="EH77" s="1"/>
  <c r="DB77"/>
  <c r="EP114"/>
  <c r="EO114" s="1"/>
  <c r="EM114" s="1"/>
  <c r="EQ114" s="1"/>
  <c r="ES114" s="1"/>
  <c r="EU114" s="1"/>
  <c r="DP114"/>
  <c r="DF106"/>
  <c r="DF114"/>
  <c r="DP91"/>
  <c r="EP91"/>
  <c r="EO91" s="1"/>
  <c r="EM91" s="1"/>
  <c r="EQ91" s="1"/>
  <c r="DF84"/>
  <c r="FW103"/>
  <c r="FX103" s="1"/>
  <c r="FW88"/>
  <c r="FX88" s="1"/>
  <c r="EQ103"/>
  <c r="ES103" s="1"/>
  <c r="EU103" s="1"/>
  <c r="FW84"/>
  <c r="FX84" s="1"/>
  <c r="DJ74"/>
  <c r="DL74" s="1"/>
  <c r="DN74" s="1"/>
  <c r="FY74" s="1"/>
  <c r="FW114"/>
  <c r="FX114" s="1"/>
  <c r="FR114"/>
  <c r="FS114" s="1"/>
  <c r="FW110"/>
  <c r="FX110" s="1"/>
  <c r="FW102"/>
  <c r="FX102" s="1"/>
  <c r="ED74"/>
  <c r="EE74" s="1"/>
  <c r="EJ74" s="1"/>
  <c r="FK82"/>
  <c r="ED83"/>
  <c r="FK88"/>
  <c r="ED104"/>
  <c r="EE104" s="1"/>
  <c r="EJ104" s="1"/>
  <c r="EP106"/>
  <c r="EO106" s="1"/>
  <c r="EM106" s="1"/>
  <c r="EQ106" s="1"/>
  <c r="FR91"/>
  <c r="FS91" s="1"/>
  <c r="FW106"/>
  <c r="FX106" s="1"/>
  <c r="FW113"/>
  <c r="FX113" s="1"/>
  <c r="FR106"/>
  <c r="FS106" s="1"/>
  <c r="FK108"/>
  <c r="ED103"/>
  <c r="EC103" s="1"/>
  <c r="DZ103" s="1"/>
  <c r="FB68"/>
  <c r="FH68"/>
  <c r="CA68"/>
  <c r="CM110"/>
  <c r="CN110" s="1"/>
  <c r="CO110" s="1"/>
  <c r="FK110" s="1"/>
  <c r="ED110"/>
  <c r="EC110" s="1"/>
  <c r="CM102"/>
  <c r="CN102" s="1"/>
  <c r="CO102" s="1"/>
  <c r="FK102" s="1"/>
  <c r="EQ102"/>
  <c r="ED102"/>
  <c r="EC102" s="1"/>
  <c r="DZ102" s="1"/>
  <c r="FX79"/>
  <c r="CM106"/>
  <c r="CN106" s="1"/>
  <c r="CO106" s="1"/>
  <c r="FK106" s="1"/>
  <c r="ED106"/>
  <c r="EC106" s="1"/>
  <c r="EB106" s="1"/>
  <c r="GG74"/>
  <c r="GH74"/>
  <c r="GF74"/>
  <c r="BA70"/>
  <c r="AY70"/>
  <c r="EH70" s="1"/>
  <c r="BF70"/>
  <c r="CM91"/>
  <c r="CN91" s="1"/>
  <c r="CO91" s="1"/>
  <c r="FK91" s="1"/>
  <c r="ED91"/>
  <c r="EC91" s="1"/>
  <c r="DZ91" s="1"/>
  <c r="DP69"/>
  <c r="EP69"/>
  <c r="EO69" s="1"/>
  <c r="EM69" s="1"/>
  <c r="EQ69" s="1"/>
  <c r="FS93"/>
  <c r="AY76"/>
  <c r="EH76" s="1"/>
  <c r="ED76" s="1"/>
  <c r="DB76"/>
  <c r="FF76"/>
  <c r="EC107"/>
  <c r="EE107"/>
  <c r="EJ107" s="1"/>
  <c r="ES90"/>
  <c r="EU90" s="1"/>
  <c r="ES88"/>
  <c r="GH75"/>
  <c r="GG75"/>
  <c r="GF75"/>
  <c r="CJ73"/>
  <c r="CK73" s="1"/>
  <c r="FK73" s="1"/>
  <c r="DQ73"/>
  <c r="FT83"/>
  <c r="FU83"/>
  <c r="FS83"/>
  <c r="FV83"/>
  <c r="ES83"/>
  <c r="EU83" s="1"/>
  <c r="CJ70"/>
  <c r="CK70" s="1"/>
  <c r="DQ70"/>
  <c r="FS103"/>
  <c r="FX75"/>
  <c r="DI80"/>
  <c r="DJ80" s="1"/>
  <c r="EQ99"/>
  <c r="CM99"/>
  <c r="CN99" s="1"/>
  <c r="CO99" s="1"/>
  <c r="FK99" s="1"/>
  <c r="DI111"/>
  <c r="FU105"/>
  <c r="FV105"/>
  <c r="FT105"/>
  <c r="FS105"/>
  <c r="AY73"/>
  <c r="EH73" s="1"/>
  <c r="BA73"/>
  <c r="BF73"/>
  <c r="DI83"/>
  <c r="DJ83" s="1"/>
  <c r="CM84"/>
  <c r="CN84" s="1"/>
  <c r="CO84" s="1"/>
  <c r="FK84" s="1"/>
  <c r="DF68"/>
  <c r="GF76"/>
  <c r="GG76"/>
  <c r="GH76"/>
  <c r="DG78"/>
  <c r="DH78" s="1"/>
  <c r="ES78"/>
  <c r="DP68"/>
  <c r="EP68"/>
  <c r="EO68" s="1"/>
  <c r="EM68" s="1"/>
  <c r="EQ68" s="1"/>
  <c r="FX92"/>
  <c r="CJ69"/>
  <c r="CK69" s="1"/>
  <c r="DQ69"/>
  <c r="FT104"/>
  <c r="FU104"/>
  <c r="FS104"/>
  <c r="FV104"/>
  <c r="ES104"/>
  <c r="EU104" s="1"/>
  <c r="DI92"/>
  <c r="DJ92" s="1"/>
  <c r="FW105"/>
  <c r="GG109"/>
  <c r="GH109"/>
  <c r="GF109"/>
  <c r="CM109"/>
  <c r="CN109" s="1"/>
  <c r="CO109" s="1"/>
  <c r="FK109" s="1"/>
  <c r="CM105"/>
  <c r="CN105" s="1"/>
  <c r="CO105" s="1"/>
  <c r="FK105" s="1"/>
  <c r="EQ105"/>
  <c r="ED105"/>
  <c r="CM87"/>
  <c r="CN87" s="1"/>
  <c r="CO87" s="1"/>
  <c r="FK87" s="1"/>
  <c r="EQ87"/>
  <c r="ED87"/>
  <c r="EC87" s="1"/>
  <c r="FW87"/>
  <c r="DI112"/>
  <c r="DF76"/>
  <c r="DI76"/>
  <c r="DP73"/>
  <c r="EP73"/>
  <c r="EO73" s="1"/>
  <c r="EM73" s="1"/>
  <c r="EQ73" s="1"/>
  <c r="DG74"/>
  <c r="DH74" s="1"/>
  <c r="ES74"/>
  <c r="BG68"/>
  <c r="FF68"/>
  <c r="DT68" s="1"/>
  <c r="BB68"/>
  <c r="ED68" s="1"/>
  <c r="FA68"/>
  <c r="EG70"/>
  <c r="CH70"/>
  <c r="DY70" s="1"/>
  <c r="DA70"/>
  <c r="DE70" s="1"/>
  <c r="DR70" s="1"/>
  <c r="FW99"/>
  <c r="FW91"/>
  <c r="DI86"/>
  <c r="DJ86" s="1"/>
  <c r="CM81"/>
  <c r="CN81" s="1"/>
  <c r="CO81" s="1"/>
  <c r="FK81" s="1"/>
  <c r="FS95"/>
  <c r="FU102"/>
  <c r="FV102"/>
  <c r="FT102"/>
  <c r="FS102"/>
  <c r="GK74"/>
  <c r="GI74"/>
  <c r="GJ74"/>
  <c r="AY79"/>
  <c r="EH79" s="1"/>
  <c r="ED79" s="1"/>
  <c r="FF79"/>
  <c r="DB79"/>
  <c r="BA69"/>
  <c r="BF69"/>
  <c r="AY69"/>
  <c r="EH69" s="1"/>
  <c r="ES113"/>
  <c r="EU113" s="1"/>
  <c r="CM95"/>
  <c r="CN95" s="1"/>
  <c r="CO95" s="1"/>
  <c r="FK95" s="1"/>
  <c r="EQ95"/>
  <c r="DI104"/>
  <c r="DJ104" s="1"/>
  <c r="DI107"/>
  <c r="DJ107" s="1"/>
  <c r="GH79"/>
  <c r="GG79"/>
  <c r="GF79"/>
  <c r="GI76"/>
  <c r="GJ76"/>
  <c r="GK76"/>
  <c r="CM85"/>
  <c r="CN85" s="1"/>
  <c r="CO85" s="1"/>
  <c r="FK85" s="1"/>
  <c r="ED85"/>
  <c r="EC85" s="1"/>
  <c r="EA85" s="1"/>
  <c r="FS89"/>
  <c r="FS112"/>
  <c r="DF73"/>
  <c r="BV69"/>
  <c r="BZ69"/>
  <c r="BV73"/>
  <c r="BZ73"/>
  <c r="CM70"/>
  <c r="CN70" s="1"/>
  <c r="CO70" s="1"/>
  <c r="FW95"/>
  <c r="FU113"/>
  <c r="FV113"/>
  <c r="FT113"/>
  <c r="FS113"/>
  <c r="AY75"/>
  <c r="EH75" s="1"/>
  <c r="DB75"/>
  <c r="FF75"/>
  <c r="FB71"/>
  <c r="FH71"/>
  <c r="CA71"/>
  <c r="FK113"/>
  <c r="FP113" l="1"/>
  <c r="FO113"/>
  <c r="FP109"/>
  <c r="FO109"/>
  <c r="FP108"/>
  <c r="FO108"/>
  <c r="FL96"/>
  <c r="GE96" s="1"/>
  <c r="FP96"/>
  <c r="FO96"/>
  <c r="GC92"/>
  <c r="FP92"/>
  <c r="FO92"/>
  <c r="FP95"/>
  <c r="FO95"/>
  <c r="FP105"/>
  <c r="FO105"/>
  <c r="FP110"/>
  <c r="FO110"/>
  <c r="FP103"/>
  <c r="FO103"/>
  <c r="GD101"/>
  <c r="FP101"/>
  <c r="FO101"/>
  <c r="GC114"/>
  <c r="FP114"/>
  <c r="FO114"/>
  <c r="FP68"/>
  <c r="FP73"/>
  <c r="DT76"/>
  <c r="DW76" s="1"/>
  <c r="GC89"/>
  <c r="FP89"/>
  <c r="FO89"/>
  <c r="GC98"/>
  <c r="FP98"/>
  <c r="FO98"/>
  <c r="GD86"/>
  <c r="FP86"/>
  <c r="FO86"/>
  <c r="FL104"/>
  <c r="GE104" s="1"/>
  <c r="FP104"/>
  <c r="FO104"/>
  <c r="GC94"/>
  <c r="FP94"/>
  <c r="FO94"/>
  <c r="FL97"/>
  <c r="GE97" s="1"/>
  <c r="FP97"/>
  <c r="FO97"/>
  <c r="FQ112"/>
  <c r="FP112"/>
  <c r="FO112"/>
  <c r="FO74"/>
  <c r="DZ101"/>
  <c r="DW68"/>
  <c r="FO68" s="1"/>
  <c r="DZ95"/>
  <c r="DX70"/>
  <c r="EB85"/>
  <c r="EA91"/>
  <c r="EB96"/>
  <c r="EA112"/>
  <c r="DZ92"/>
  <c r="EB95"/>
  <c r="EB68"/>
  <c r="EA114"/>
  <c r="DZ85"/>
  <c r="DZ106"/>
  <c r="EA98"/>
  <c r="DZ81"/>
  <c r="DZ111"/>
  <c r="EA109"/>
  <c r="EA106"/>
  <c r="DZ93"/>
  <c r="DW75"/>
  <c r="DT75"/>
  <c r="DX79"/>
  <c r="DU79"/>
  <c r="FP87"/>
  <c r="FO87"/>
  <c r="FP81"/>
  <c r="FO81"/>
  <c r="FP84"/>
  <c r="FO84"/>
  <c r="DX76"/>
  <c r="DU76"/>
  <c r="GD88"/>
  <c r="FP88"/>
  <c r="FO88"/>
  <c r="DU77"/>
  <c r="DX77" s="1"/>
  <c r="FP83"/>
  <c r="FO83"/>
  <c r="FP80"/>
  <c r="FO80"/>
  <c r="GD111"/>
  <c r="FP111"/>
  <c r="FO111"/>
  <c r="FL93"/>
  <c r="GE93" s="1"/>
  <c r="FP93"/>
  <c r="FO93"/>
  <c r="DU75"/>
  <c r="DX75" s="1"/>
  <c r="DT79"/>
  <c r="DW79" s="1"/>
  <c r="FP99"/>
  <c r="FO99"/>
  <c r="FP91"/>
  <c r="FO91"/>
  <c r="FP106"/>
  <c r="FO106"/>
  <c r="FL82"/>
  <c r="GE82" s="1"/>
  <c r="FP82"/>
  <c r="FO82"/>
  <c r="DW77"/>
  <c r="DT77"/>
  <c r="GD100"/>
  <c r="FP100"/>
  <c r="FO100"/>
  <c r="EB81"/>
  <c r="EB84"/>
  <c r="DZ99"/>
  <c r="EA86"/>
  <c r="EA80"/>
  <c r="EB92"/>
  <c r="EB80"/>
  <c r="DZ84"/>
  <c r="EB111"/>
  <c r="EB103"/>
  <c r="EA93"/>
  <c r="EA96"/>
  <c r="EA92"/>
  <c r="EB102"/>
  <c r="DZ87"/>
  <c r="DZ107"/>
  <c r="EB91"/>
  <c r="EA89"/>
  <c r="EA78"/>
  <c r="DW72"/>
  <c r="GA92"/>
  <c r="FL92"/>
  <c r="GE92" s="1"/>
  <c r="GD92"/>
  <c r="FN92"/>
  <c r="FQ92"/>
  <c r="EJ94"/>
  <c r="EL94" s="1"/>
  <c r="FZ94" s="1"/>
  <c r="EJ98"/>
  <c r="EL98" s="1"/>
  <c r="FZ98" s="1"/>
  <c r="FB70"/>
  <c r="DI90"/>
  <c r="DJ90" s="1"/>
  <c r="DL90" s="1"/>
  <c r="DN90" s="1"/>
  <c r="FV100"/>
  <c r="FK72"/>
  <c r="CA72"/>
  <c r="FG72" s="1"/>
  <c r="EE109"/>
  <c r="FZ107"/>
  <c r="EU72"/>
  <c r="GG113"/>
  <c r="GG86"/>
  <c r="FE72"/>
  <c r="FA71"/>
  <c r="EC104"/>
  <c r="GD97"/>
  <c r="ED72"/>
  <c r="EE72" s="1"/>
  <c r="GD98"/>
  <c r="GF113"/>
  <c r="EE97"/>
  <c r="GC93"/>
  <c r="FG71"/>
  <c r="GD93"/>
  <c r="FN93"/>
  <c r="EE95"/>
  <c r="GF96"/>
  <c r="FH70"/>
  <c r="GH108"/>
  <c r="FU90"/>
  <c r="DI88"/>
  <c r="DJ88" s="1"/>
  <c r="DL88" s="1"/>
  <c r="DN88" s="1"/>
  <c r="FY88" s="1"/>
  <c r="GA83"/>
  <c r="FQ93"/>
  <c r="EE108"/>
  <c r="GA80"/>
  <c r="EE93"/>
  <c r="EE96"/>
  <c r="DI101"/>
  <c r="DJ101" s="1"/>
  <c r="DL101" s="1"/>
  <c r="DN101" s="1"/>
  <c r="FY101" s="1"/>
  <c r="GC96"/>
  <c r="FK69"/>
  <c r="FS84"/>
  <c r="GC111"/>
  <c r="FN111"/>
  <c r="FQ111"/>
  <c r="FU107"/>
  <c r="FL111"/>
  <c r="GE111" s="1"/>
  <c r="GG102"/>
  <c r="FN96"/>
  <c r="EC88"/>
  <c r="FN88" s="1"/>
  <c r="FH72"/>
  <c r="GG96"/>
  <c r="FL100"/>
  <c r="GE100" s="1"/>
  <c r="FQ97"/>
  <c r="GA108"/>
  <c r="FT107"/>
  <c r="FV84"/>
  <c r="FS90"/>
  <c r="EE89"/>
  <c r="GF102"/>
  <c r="EE114"/>
  <c r="EQ111"/>
  <c r="ES111" s="1"/>
  <c r="EU111" s="1"/>
  <c r="GA111" s="1"/>
  <c r="GG99"/>
  <c r="GD96"/>
  <c r="FF71"/>
  <c r="FN97"/>
  <c r="FQ96"/>
  <c r="GC100"/>
  <c r="GC97"/>
  <c r="FS107"/>
  <c r="EC100"/>
  <c r="EB100" s="1"/>
  <c r="BB71"/>
  <c r="ED71" s="1"/>
  <c r="FT84"/>
  <c r="FV90"/>
  <c r="DI94"/>
  <c r="DJ94" s="1"/>
  <c r="DL94" s="1"/>
  <c r="DN94" s="1"/>
  <c r="FY94" s="1"/>
  <c r="GH89"/>
  <c r="GA97"/>
  <c r="GE90"/>
  <c r="EC94"/>
  <c r="GF88"/>
  <c r="EE113"/>
  <c r="EC82"/>
  <c r="DZ82" s="1"/>
  <c r="GG105"/>
  <c r="FQ72"/>
  <c r="GA94"/>
  <c r="EC78"/>
  <c r="GF105"/>
  <c r="GD94"/>
  <c r="FN89"/>
  <c r="CB68"/>
  <c r="CC68" s="1"/>
  <c r="CD68" s="1"/>
  <c r="FR68" s="1"/>
  <c r="FS68" s="1"/>
  <c r="FT100"/>
  <c r="GA96"/>
  <c r="GE107"/>
  <c r="DI98"/>
  <c r="DJ98" s="1"/>
  <c r="DL98" s="1"/>
  <c r="DN98" s="1"/>
  <c r="FY98" s="1"/>
  <c r="FU100"/>
  <c r="GG97"/>
  <c r="EE81"/>
  <c r="FX90"/>
  <c r="GK90" s="1"/>
  <c r="FG68"/>
  <c r="FN108"/>
  <c r="EE111"/>
  <c r="DI99"/>
  <c r="DJ99" s="1"/>
  <c r="DL99" s="1"/>
  <c r="DN99" s="1"/>
  <c r="FY99" s="1"/>
  <c r="FL94"/>
  <c r="GE94" s="1"/>
  <c r="GA86"/>
  <c r="FR72"/>
  <c r="FS72" s="1"/>
  <c r="FQ89"/>
  <c r="DF69"/>
  <c r="FQ94"/>
  <c r="GA100"/>
  <c r="EC90"/>
  <c r="DZ90" s="1"/>
  <c r="FQ100"/>
  <c r="FM97"/>
  <c r="GA104"/>
  <c r="GD89"/>
  <c r="EE84"/>
  <c r="FZ90"/>
  <c r="EE80"/>
  <c r="FL89"/>
  <c r="GE89" s="1"/>
  <c r="GA90"/>
  <c r="FN80"/>
  <c r="FY113"/>
  <c r="DJ89"/>
  <c r="DL89" s="1"/>
  <c r="DN89" s="1"/>
  <c r="FY89" s="1"/>
  <c r="FM89"/>
  <c r="FT85"/>
  <c r="FS85"/>
  <c r="FV85"/>
  <c r="FY107"/>
  <c r="FX107"/>
  <c r="GK107" s="1"/>
  <c r="EC99"/>
  <c r="EB99" s="1"/>
  <c r="EE99"/>
  <c r="GA103"/>
  <c r="FY102"/>
  <c r="FZ102"/>
  <c r="GA102"/>
  <c r="GH110"/>
  <c r="GC86"/>
  <c r="FQ86"/>
  <c r="FL86"/>
  <c r="GE86" s="1"/>
  <c r="FL83"/>
  <c r="GE83" s="1"/>
  <c r="GD83"/>
  <c r="DI87"/>
  <c r="DJ87" s="1"/>
  <c r="DL87" s="1"/>
  <c r="DN87" s="1"/>
  <c r="FY87" s="1"/>
  <c r="DI100"/>
  <c r="DJ100" s="1"/>
  <c r="DL100" s="1"/>
  <c r="DN100" s="1"/>
  <c r="FY100" s="1"/>
  <c r="FS101"/>
  <c r="FU101"/>
  <c r="FT101"/>
  <c r="GC104"/>
  <c r="FQ104"/>
  <c r="GD104"/>
  <c r="DI96"/>
  <c r="DJ96" s="1"/>
  <c r="DL96" s="1"/>
  <c r="DN96" s="1"/>
  <c r="FY96" s="1"/>
  <c r="FU85"/>
  <c r="FN98"/>
  <c r="GA82"/>
  <c r="GA101"/>
  <c r="EE92"/>
  <c r="DI81"/>
  <c r="DJ81" s="1"/>
  <c r="DL81" s="1"/>
  <c r="DN81" s="1"/>
  <c r="FY81" s="1"/>
  <c r="FQ82"/>
  <c r="FL114"/>
  <c r="GE114" s="1"/>
  <c r="FX85"/>
  <c r="GJ85" s="1"/>
  <c r="FV96"/>
  <c r="FU96"/>
  <c r="FS96"/>
  <c r="FT96"/>
  <c r="DI91"/>
  <c r="DJ91" s="1"/>
  <c r="DL91" s="1"/>
  <c r="DN91" s="1"/>
  <c r="FY91" s="1"/>
  <c r="FK71"/>
  <c r="FK118" s="1"/>
  <c r="DP71"/>
  <c r="EP71"/>
  <c r="EO71" s="1"/>
  <c r="EM71" s="1"/>
  <c r="EQ71" s="1"/>
  <c r="ES71" s="1"/>
  <c r="ER71" s="1"/>
  <c r="ET71" s="1"/>
  <c r="FL98"/>
  <c r="GE98" s="1"/>
  <c r="ER82"/>
  <c r="ET82" s="1"/>
  <c r="FV82" s="1"/>
  <c r="FN114"/>
  <c r="FZ85"/>
  <c r="GC80"/>
  <c r="FQ108"/>
  <c r="EC101"/>
  <c r="EA101" s="1"/>
  <c r="GD114"/>
  <c r="GA85"/>
  <c r="FS81"/>
  <c r="FU81"/>
  <c r="FV81"/>
  <c r="FT81"/>
  <c r="DF71"/>
  <c r="FQ98"/>
  <c r="FL108"/>
  <c r="GE108" s="1"/>
  <c r="FM82"/>
  <c r="FQ80"/>
  <c r="ER108"/>
  <c r="ET108" s="1"/>
  <c r="FV108" s="1"/>
  <c r="GA114"/>
  <c r="GC108"/>
  <c r="FL101"/>
  <c r="GE101" s="1"/>
  <c r="FQ101"/>
  <c r="FQ83"/>
  <c r="FL80"/>
  <c r="GE80" s="1"/>
  <c r="FM108"/>
  <c r="GA89"/>
  <c r="GC101"/>
  <c r="FN112"/>
  <c r="GC83"/>
  <c r="GD108"/>
  <c r="FQ114"/>
  <c r="ER104"/>
  <c r="ET104" s="1"/>
  <c r="ER80"/>
  <c r="ET80" s="1"/>
  <c r="FV80" s="1"/>
  <c r="ER114"/>
  <c r="ET114" s="1"/>
  <c r="FV114" s="1"/>
  <c r="EU112"/>
  <c r="GA112" s="1"/>
  <c r="ER112"/>
  <c r="ET112" s="1"/>
  <c r="FV112" s="1"/>
  <c r="DI109"/>
  <c r="DJ109" s="1"/>
  <c r="DL109" s="1"/>
  <c r="DN109" s="1"/>
  <c r="FY109" s="1"/>
  <c r="EI98"/>
  <c r="EK98" s="1"/>
  <c r="FU98" s="1"/>
  <c r="FL112"/>
  <c r="GE112" s="1"/>
  <c r="EC86"/>
  <c r="DZ86" s="1"/>
  <c r="EE86"/>
  <c r="GD112"/>
  <c r="GH85"/>
  <c r="ER103"/>
  <c r="ET103" s="1"/>
  <c r="FV103" s="1"/>
  <c r="EE110"/>
  <c r="FM80"/>
  <c r="EE112"/>
  <c r="GC112"/>
  <c r="ES77"/>
  <c r="DL77"/>
  <c r="DG77"/>
  <c r="DH77" s="1"/>
  <c r="DI106"/>
  <c r="DJ106" s="1"/>
  <c r="DL106" s="1"/>
  <c r="DN106" s="1"/>
  <c r="FY106" s="1"/>
  <c r="EC83"/>
  <c r="EE83"/>
  <c r="EJ83" s="1"/>
  <c r="ED77"/>
  <c r="GC82"/>
  <c r="GA113"/>
  <c r="ER72"/>
  <c r="ET72" s="1"/>
  <c r="DK113"/>
  <c r="DM113" s="1"/>
  <c r="FQ88"/>
  <c r="ER101"/>
  <c r="ET101" s="1"/>
  <c r="DI114"/>
  <c r="EE103"/>
  <c r="EJ103" s="1"/>
  <c r="GD82"/>
  <c r="EC74"/>
  <c r="DZ74" s="1"/>
  <c r="ER113"/>
  <c r="ET113" s="1"/>
  <c r="GC88"/>
  <c r="FL88"/>
  <c r="GE88" s="1"/>
  <c r="ER94"/>
  <c r="ET94" s="1"/>
  <c r="FV94" s="1"/>
  <c r="EE85"/>
  <c r="EE87"/>
  <c r="ER107"/>
  <c r="ET107" s="1"/>
  <c r="ER92"/>
  <c r="ET92" s="1"/>
  <c r="FV92" s="1"/>
  <c r="GD80"/>
  <c r="DI84"/>
  <c r="DJ84" s="1"/>
  <c r="DL84" s="1"/>
  <c r="DN84" s="1"/>
  <c r="FY84" s="1"/>
  <c r="EC79"/>
  <c r="EE79"/>
  <c r="EJ79" s="1"/>
  <c r="ES84"/>
  <c r="EU84" s="1"/>
  <c r="GA84" s="1"/>
  <c r="GK113"/>
  <c r="GI113"/>
  <c r="GJ113"/>
  <c r="FM104"/>
  <c r="CE71"/>
  <c r="CF71" s="1"/>
  <c r="CG71" s="1"/>
  <c r="FW71" s="1"/>
  <c r="EL90"/>
  <c r="GJ108"/>
  <c r="GK108"/>
  <c r="GI108"/>
  <c r="GF82"/>
  <c r="GG82"/>
  <c r="GH82"/>
  <c r="GG95"/>
  <c r="GH95"/>
  <c r="GF95"/>
  <c r="GI86"/>
  <c r="GJ86"/>
  <c r="GK86"/>
  <c r="ES81"/>
  <c r="EU81" s="1"/>
  <c r="GA81" s="1"/>
  <c r="EU98"/>
  <c r="GA98" s="1"/>
  <c r="ER98"/>
  <c r="ET98" s="1"/>
  <c r="FV98" s="1"/>
  <c r="GJ83"/>
  <c r="GK83"/>
  <c r="GI83"/>
  <c r="ES91"/>
  <c r="EU91" s="1"/>
  <c r="GA91" s="1"/>
  <c r="GI93"/>
  <c r="GJ93"/>
  <c r="GK93"/>
  <c r="ES75"/>
  <c r="DG75"/>
  <c r="DH75" s="1"/>
  <c r="EL74"/>
  <c r="FZ74" s="1"/>
  <c r="DL104"/>
  <c r="DN104" s="1"/>
  <c r="FY104" s="1"/>
  <c r="DL95"/>
  <c r="DN95" s="1"/>
  <c r="FY95" s="1"/>
  <c r="GH114"/>
  <c r="GG114"/>
  <c r="GF114"/>
  <c r="EC105"/>
  <c r="EE105"/>
  <c r="EJ105" s="1"/>
  <c r="GI92"/>
  <c r="GJ92"/>
  <c r="GK92"/>
  <c r="GF101"/>
  <c r="GG101"/>
  <c r="GH101"/>
  <c r="FL103"/>
  <c r="GE103" s="1"/>
  <c r="GD103"/>
  <c r="FM103"/>
  <c r="FQ103"/>
  <c r="GC103"/>
  <c r="FN103"/>
  <c r="DL102"/>
  <c r="DN102" s="1"/>
  <c r="FQ113"/>
  <c r="GC113"/>
  <c r="FL113"/>
  <c r="GE113" s="1"/>
  <c r="GD113"/>
  <c r="FN113"/>
  <c r="FM113"/>
  <c r="FQ105"/>
  <c r="GC105"/>
  <c r="FL105"/>
  <c r="GE105" s="1"/>
  <c r="GD105"/>
  <c r="FM105"/>
  <c r="ES68"/>
  <c r="EU68" s="1"/>
  <c r="GJ104"/>
  <c r="GK104"/>
  <c r="GI104"/>
  <c r="EU93"/>
  <c r="GA93" s="1"/>
  <c r="ER93"/>
  <c r="ET93" s="1"/>
  <c r="FV93" s="1"/>
  <c r="GI97"/>
  <c r="GJ97"/>
  <c r="GK97"/>
  <c r="DK74"/>
  <c r="DM74" s="1"/>
  <c r="FT74" s="1"/>
  <c r="ER100"/>
  <c r="ET100" s="1"/>
  <c r="GJ98"/>
  <c r="GK98"/>
  <c r="GI98"/>
  <c r="EL101"/>
  <c r="FZ101" s="1"/>
  <c r="GF100"/>
  <c r="GH100"/>
  <c r="GG100"/>
  <c r="ES79"/>
  <c r="DL79"/>
  <c r="DG79"/>
  <c r="DH79" s="1"/>
  <c r="CE68"/>
  <c r="CF68" s="1"/>
  <c r="CG68" s="1"/>
  <c r="FW68" s="1"/>
  <c r="DJ112"/>
  <c r="FM112"/>
  <c r="DL75"/>
  <c r="FE68"/>
  <c r="DI68" s="1"/>
  <c r="DJ68" s="1"/>
  <c r="GJ112"/>
  <c r="GK112"/>
  <c r="GI112"/>
  <c r="BB73"/>
  <c r="ED73" s="1"/>
  <c r="FF73"/>
  <c r="FA73"/>
  <c r="BG73"/>
  <c r="FE73" s="1"/>
  <c r="DI73" s="1"/>
  <c r="DJ73" s="1"/>
  <c r="DJ111"/>
  <c r="FM111"/>
  <c r="GJ94"/>
  <c r="GK94"/>
  <c r="GI94"/>
  <c r="DL110"/>
  <c r="DN110" s="1"/>
  <c r="FY110" s="1"/>
  <c r="EU88"/>
  <c r="GA88" s="1"/>
  <c r="ER88"/>
  <c r="ET88" s="1"/>
  <c r="FV88" s="1"/>
  <c r="DL108"/>
  <c r="DN108" s="1"/>
  <c r="FY108" s="1"/>
  <c r="GF98"/>
  <c r="GG98"/>
  <c r="GH98"/>
  <c r="DL82"/>
  <c r="DN82" s="1"/>
  <c r="FY82" s="1"/>
  <c r="GI89"/>
  <c r="GJ89"/>
  <c r="GK89"/>
  <c r="GE85"/>
  <c r="GK109"/>
  <c r="GJ109"/>
  <c r="GI109"/>
  <c r="DL107"/>
  <c r="DN107" s="1"/>
  <c r="FQ95"/>
  <c r="GC95"/>
  <c r="FL95"/>
  <c r="GE95" s="1"/>
  <c r="GD95"/>
  <c r="FM95"/>
  <c r="FN95"/>
  <c r="EL78"/>
  <c r="FZ78" s="1"/>
  <c r="DL86"/>
  <c r="DN86" s="1"/>
  <c r="FY86" s="1"/>
  <c r="FX91"/>
  <c r="ES73"/>
  <c r="ER73" s="1"/>
  <c r="ET73" s="1"/>
  <c r="ES105"/>
  <c r="EU105" s="1"/>
  <c r="GA105" s="1"/>
  <c r="FQ109"/>
  <c r="GC109"/>
  <c r="FL109"/>
  <c r="GE109" s="1"/>
  <c r="GD109"/>
  <c r="FN109"/>
  <c r="FX105"/>
  <c r="FR71"/>
  <c r="EU78"/>
  <c r="GA78" s="1"/>
  <c r="ER78"/>
  <c r="ET78" s="1"/>
  <c r="FV78" s="1"/>
  <c r="EL82"/>
  <c r="FZ82" s="1"/>
  <c r="DL103"/>
  <c r="DN103" s="1"/>
  <c r="FY103" s="1"/>
  <c r="DL93"/>
  <c r="DN93" s="1"/>
  <c r="FY93" s="1"/>
  <c r="GF83"/>
  <c r="GG83"/>
  <c r="GH83"/>
  <c r="CB73"/>
  <c r="CC73" s="1"/>
  <c r="CD73" s="1"/>
  <c r="FL99"/>
  <c r="GE99" s="1"/>
  <c r="GD99"/>
  <c r="GC99"/>
  <c r="FQ99"/>
  <c r="GF80"/>
  <c r="GG80"/>
  <c r="GH80"/>
  <c r="GK102"/>
  <c r="GJ102"/>
  <c r="GI102"/>
  <c r="GF90"/>
  <c r="GG90"/>
  <c r="GH90"/>
  <c r="GF94"/>
  <c r="GG94"/>
  <c r="GH94"/>
  <c r="DL97"/>
  <c r="DN97" s="1"/>
  <c r="FY97" s="1"/>
  <c r="CB70"/>
  <c r="CC70" s="1"/>
  <c r="CD70" s="1"/>
  <c r="EE106"/>
  <c r="EJ106" s="1"/>
  <c r="GE102"/>
  <c r="FM83"/>
  <c r="FL110"/>
  <c r="GE110" s="1"/>
  <c r="GD110"/>
  <c r="FM110"/>
  <c r="FQ110"/>
  <c r="GC110"/>
  <c r="FN110"/>
  <c r="FX95"/>
  <c r="EC76"/>
  <c r="EE76"/>
  <c r="EJ76" s="1"/>
  <c r="EL88"/>
  <c r="FZ88" s="1"/>
  <c r="DL85"/>
  <c r="DN85" s="1"/>
  <c r="GF104"/>
  <c r="GG104"/>
  <c r="GH104"/>
  <c r="CB69"/>
  <c r="CC69" s="1"/>
  <c r="CD69" s="1"/>
  <c r="FL81"/>
  <c r="GE81" s="1"/>
  <c r="GD81"/>
  <c r="FQ81"/>
  <c r="GC81"/>
  <c r="FN81"/>
  <c r="FX99"/>
  <c r="DF70"/>
  <c r="FL73"/>
  <c r="GE73" s="1"/>
  <c r="GD73"/>
  <c r="FQ73"/>
  <c r="GC73"/>
  <c r="FM76"/>
  <c r="DJ76"/>
  <c r="GF112"/>
  <c r="GG112"/>
  <c r="GH112"/>
  <c r="FX87"/>
  <c r="ES87"/>
  <c r="EU87" s="1"/>
  <c r="GA87" s="1"/>
  <c r="DL105"/>
  <c r="DN105" s="1"/>
  <c r="FY105" s="1"/>
  <c r="GG87"/>
  <c r="GH87"/>
  <c r="GF87"/>
  <c r="GI106"/>
  <c r="GJ106"/>
  <c r="GK106"/>
  <c r="GH92"/>
  <c r="GF92"/>
  <c r="GG92"/>
  <c r="DL92"/>
  <c r="DN92" s="1"/>
  <c r="FY92" s="1"/>
  <c r="GI96"/>
  <c r="GK96"/>
  <c r="GJ96"/>
  <c r="EL100"/>
  <c r="FZ100" s="1"/>
  <c r="FM92"/>
  <c r="FQ84"/>
  <c r="GC84"/>
  <c r="FL84"/>
  <c r="GE84" s="1"/>
  <c r="GD84"/>
  <c r="FN84"/>
  <c r="GI88"/>
  <c r="GJ88"/>
  <c r="GK88"/>
  <c r="GI110"/>
  <c r="GK110"/>
  <c r="GJ110"/>
  <c r="GK84"/>
  <c r="GJ84"/>
  <c r="GI84"/>
  <c r="ER83"/>
  <c r="ET83" s="1"/>
  <c r="ED75"/>
  <c r="EL107"/>
  <c r="GF107"/>
  <c r="GH107"/>
  <c r="GG107"/>
  <c r="FQ91"/>
  <c r="GC91"/>
  <c r="FL91"/>
  <c r="GE91" s="1"/>
  <c r="GD91"/>
  <c r="FN91"/>
  <c r="BB70"/>
  <c r="ED70" s="1"/>
  <c r="FF70"/>
  <c r="FA70"/>
  <c r="BG70"/>
  <c r="EL104"/>
  <c r="FZ104" s="1"/>
  <c r="FM86"/>
  <c r="ES106"/>
  <c r="EU106" s="1"/>
  <c r="GA106" s="1"/>
  <c r="EE102"/>
  <c r="EJ102" s="1"/>
  <c r="GI103"/>
  <c r="GK103"/>
  <c r="GJ103"/>
  <c r="GI111"/>
  <c r="GJ111"/>
  <c r="GK111"/>
  <c r="GJ80"/>
  <c r="GK80"/>
  <c r="GI80"/>
  <c r="GI82"/>
  <c r="GJ82"/>
  <c r="GK82"/>
  <c r="FB73"/>
  <c r="CA73"/>
  <c r="FG73" s="1"/>
  <c r="FH73"/>
  <c r="FB69"/>
  <c r="CA69"/>
  <c r="FG69" s="1"/>
  <c r="FH69"/>
  <c r="ES85"/>
  <c r="EU85" s="1"/>
  <c r="GH103"/>
  <c r="GG103"/>
  <c r="GF103"/>
  <c r="ES95"/>
  <c r="EU95" s="1"/>
  <c r="GA95" s="1"/>
  <c r="BB69"/>
  <c r="ED69" s="1"/>
  <c r="FF69"/>
  <c r="FA69"/>
  <c r="BG69"/>
  <c r="ER96"/>
  <c r="ET96" s="1"/>
  <c r="DP70"/>
  <c r="FK70"/>
  <c r="EP70"/>
  <c r="EO70" s="1"/>
  <c r="EM70" s="1"/>
  <c r="EQ70" s="1"/>
  <c r="EC68"/>
  <c r="FN68" s="1"/>
  <c r="EE68"/>
  <c r="EJ68" s="1"/>
  <c r="EU74"/>
  <c r="GA74" s="1"/>
  <c r="ER74"/>
  <c r="ET74" s="1"/>
  <c r="FV74" s="1"/>
  <c r="GI81"/>
  <c r="GJ81"/>
  <c r="GK81"/>
  <c r="FQ87"/>
  <c r="GC87"/>
  <c r="FL87"/>
  <c r="GE87" s="1"/>
  <c r="GD87"/>
  <c r="FN87"/>
  <c r="ER97"/>
  <c r="ET97" s="1"/>
  <c r="FV97" s="1"/>
  <c r="ES109"/>
  <c r="EU109" s="1"/>
  <c r="GA109" s="1"/>
  <c r="GI100"/>
  <c r="GJ100"/>
  <c r="GK100"/>
  <c r="FQ68"/>
  <c r="GC68"/>
  <c r="GD68"/>
  <c r="FL68"/>
  <c r="DN78"/>
  <c r="FY78" s="1"/>
  <c r="DK78"/>
  <c r="DM78" s="1"/>
  <c r="FT78" s="1"/>
  <c r="ER89"/>
  <c r="ET89" s="1"/>
  <c r="FV89" s="1"/>
  <c r="DL83"/>
  <c r="DN83" s="1"/>
  <c r="FY83" s="1"/>
  <c r="ES99"/>
  <c r="EU99" s="1"/>
  <c r="GA99" s="1"/>
  <c r="DL80"/>
  <c r="DN80" s="1"/>
  <c r="FY80" s="1"/>
  <c r="GI75"/>
  <c r="GK75"/>
  <c r="GJ75"/>
  <c r="GI114"/>
  <c r="GJ114"/>
  <c r="GK114"/>
  <c r="GJ101"/>
  <c r="GK101"/>
  <c r="GI101"/>
  <c r="GF93"/>
  <c r="GG93"/>
  <c r="GH93"/>
  <c r="ER90"/>
  <c r="ET90" s="1"/>
  <c r="ES76"/>
  <c r="DG76"/>
  <c r="DH76" s="1"/>
  <c r="ES69"/>
  <c r="ER69" s="1"/>
  <c r="ET69" s="1"/>
  <c r="EE91"/>
  <c r="EJ91" s="1"/>
  <c r="GF111"/>
  <c r="GH111"/>
  <c r="GG111"/>
  <c r="FL106"/>
  <c r="GE106" s="1"/>
  <c r="GD106"/>
  <c r="FQ106"/>
  <c r="GC106"/>
  <c r="FN106"/>
  <c r="GI79"/>
  <c r="GJ79"/>
  <c r="GK79"/>
  <c r="ES102"/>
  <c r="EU102" s="1"/>
  <c r="FM93"/>
  <c r="ES110"/>
  <c r="EU110" s="1"/>
  <c r="GA110" s="1"/>
  <c r="ER86"/>
  <c r="ET86" s="1"/>
  <c r="FV86" s="1"/>
  <c r="DZ79" l="1"/>
  <c r="FO79"/>
  <c r="DZ76"/>
  <c r="FO76"/>
  <c r="DZ75"/>
  <c r="FO75"/>
  <c r="DT70"/>
  <c r="DW70"/>
  <c r="DT73"/>
  <c r="DW73" s="1"/>
  <c r="FN105"/>
  <c r="EB105"/>
  <c r="DZ105"/>
  <c r="EA105"/>
  <c r="FN94"/>
  <c r="EB94"/>
  <c r="EA94"/>
  <c r="GC69"/>
  <c r="FP69"/>
  <c r="FN104"/>
  <c r="EB104"/>
  <c r="EA104"/>
  <c r="DZ104"/>
  <c r="EA74"/>
  <c r="EA76"/>
  <c r="EA79"/>
  <c r="DZ94"/>
  <c r="EA82"/>
  <c r="DT69"/>
  <c r="DW69"/>
  <c r="FN83"/>
  <c r="EB83"/>
  <c r="EA83"/>
  <c r="DZ83"/>
  <c r="FO77"/>
  <c r="GE68"/>
  <c r="FN79"/>
  <c r="EB79"/>
  <c r="FN86"/>
  <c r="EB86"/>
  <c r="DT71"/>
  <c r="DW71"/>
  <c r="DZ71" s="1"/>
  <c r="EB88"/>
  <c r="EA88"/>
  <c r="EA90"/>
  <c r="DZ88"/>
  <c r="FN74"/>
  <c r="EB74"/>
  <c r="FP71"/>
  <c r="FP70"/>
  <c r="FP119" s="1"/>
  <c r="FO70"/>
  <c r="FN76"/>
  <c r="EB76"/>
  <c r="FN101"/>
  <c r="EB101"/>
  <c r="FN99"/>
  <c r="EA99"/>
  <c r="FN78"/>
  <c r="EB78"/>
  <c r="DZ78"/>
  <c r="FN82"/>
  <c r="EB82"/>
  <c r="FN100"/>
  <c r="DZ100"/>
  <c r="EA100"/>
  <c r="GD72"/>
  <c r="FP72"/>
  <c r="FO72"/>
  <c r="EA68"/>
  <c r="EB90"/>
  <c r="DZ68"/>
  <c r="EI94"/>
  <c r="EK94" s="1"/>
  <c r="FU94" s="1"/>
  <c r="EJ113"/>
  <c r="EI113" s="1"/>
  <c r="EK113" s="1"/>
  <c r="EJ89"/>
  <c r="EL89" s="1"/>
  <c r="FZ89" s="1"/>
  <c r="EJ93"/>
  <c r="EL93" s="1"/>
  <c r="FZ93" s="1"/>
  <c r="EJ95"/>
  <c r="EL95" s="1"/>
  <c r="FZ95" s="1"/>
  <c r="EJ110"/>
  <c r="EL110" s="1"/>
  <c r="FZ110" s="1"/>
  <c r="EJ84"/>
  <c r="EL84" s="1"/>
  <c r="FZ84" s="1"/>
  <c r="EJ96"/>
  <c r="EL96" s="1"/>
  <c r="FZ96" s="1"/>
  <c r="EJ109"/>
  <c r="EL109" s="1"/>
  <c r="FZ109" s="1"/>
  <c r="EJ111"/>
  <c r="EL111" s="1"/>
  <c r="FZ111" s="1"/>
  <c r="EJ81"/>
  <c r="EL81" s="1"/>
  <c r="FZ81" s="1"/>
  <c r="EJ85"/>
  <c r="EL85" s="1"/>
  <c r="EJ99"/>
  <c r="EL99" s="1"/>
  <c r="FZ99" s="1"/>
  <c r="EJ97"/>
  <c r="EL97" s="1"/>
  <c r="FZ97" s="1"/>
  <c r="EJ86"/>
  <c r="EL86" s="1"/>
  <c r="FZ86" s="1"/>
  <c r="EJ114"/>
  <c r="EI114" s="1"/>
  <c r="EK114" s="1"/>
  <c r="FU114" s="1"/>
  <c r="EJ87"/>
  <c r="EL87" s="1"/>
  <c r="FZ87" s="1"/>
  <c r="EJ112"/>
  <c r="EL112" s="1"/>
  <c r="FZ112" s="1"/>
  <c r="EJ92"/>
  <c r="EL92" s="1"/>
  <c r="FZ92" s="1"/>
  <c r="EJ80"/>
  <c r="EL80" s="1"/>
  <c r="FZ80" s="1"/>
  <c r="EJ108"/>
  <c r="EL108" s="1"/>
  <c r="FZ108" s="1"/>
  <c r="EJ72"/>
  <c r="EI72" s="1"/>
  <c r="EK72" s="1"/>
  <c r="FU72" s="1"/>
  <c r="DI72"/>
  <c r="DJ72" s="1"/>
  <c r="DL72" s="1"/>
  <c r="DN72" s="1"/>
  <c r="FL72"/>
  <c r="GE72" s="1"/>
  <c r="GC72"/>
  <c r="GF86"/>
  <c r="GH86"/>
  <c r="CE72"/>
  <c r="CF72" s="1"/>
  <c r="CG72" s="1"/>
  <c r="FW72" s="1"/>
  <c r="GA72" s="1"/>
  <c r="GF110"/>
  <c r="EC72"/>
  <c r="DZ72" s="1"/>
  <c r="FM88"/>
  <c r="GD69"/>
  <c r="ER111"/>
  <c r="ET111" s="1"/>
  <c r="FV111" s="1"/>
  <c r="GF108"/>
  <c r="GG108"/>
  <c r="FM101"/>
  <c r="FL69"/>
  <c r="GE69" s="1"/>
  <c r="FM106"/>
  <c r="FQ69"/>
  <c r="FQ118" s="1"/>
  <c r="GF97"/>
  <c r="GH97"/>
  <c r="GF99"/>
  <c r="GG88"/>
  <c r="GG89"/>
  <c r="GH99"/>
  <c r="GH88"/>
  <c r="FM94"/>
  <c r="EE71"/>
  <c r="EC71"/>
  <c r="GI85"/>
  <c r="GF89"/>
  <c r="FM87"/>
  <c r="GG68"/>
  <c r="FV72"/>
  <c r="FM98"/>
  <c r="FM99"/>
  <c r="GI90"/>
  <c r="GJ90"/>
  <c r="GK85"/>
  <c r="DK96"/>
  <c r="DM96" s="1"/>
  <c r="EU71"/>
  <c r="GA71" s="1"/>
  <c r="FM100"/>
  <c r="GI107"/>
  <c r="GJ107"/>
  <c r="GG110"/>
  <c r="FM91"/>
  <c r="FM84"/>
  <c r="FM81"/>
  <c r="FM96"/>
  <c r="GH81"/>
  <c r="GF81"/>
  <c r="GG81"/>
  <c r="FQ71"/>
  <c r="GD71"/>
  <c r="FL71"/>
  <c r="GE71" s="1"/>
  <c r="GC71"/>
  <c r="FR70"/>
  <c r="FS70" s="1"/>
  <c r="DI71"/>
  <c r="ER81"/>
  <c r="ET81" s="1"/>
  <c r="DK82"/>
  <c r="DM82" s="1"/>
  <c r="FT82" s="1"/>
  <c r="DK80"/>
  <c r="DM80" s="1"/>
  <c r="FT80" s="1"/>
  <c r="EI112"/>
  <c r="EK112" s="1"/>
  <c r="FU112" s="1"/>
  <c r="FM109"/>
  <c r="DK93"/>
  <c r="DM93" s="1"/>
  <c r="FT93" s="1"/>
  <c r="ER110"/>
  <c r="ET110" s="1"/>
  <c r="FV110" s="1"/>
  <c r="DK88"/>
  <c r="DM88" s="1"/>
  <c r="FT88" s="1"/>
  <c r="DK97"/>
  <c r="DM97" s="1"/>
  <c r="FT97" s="1"/>
  <c r="DK110"/>
  <c r="DM110" s="1"/>
  <c r="FT110" s="1"/>
  <c r="DK95"/>
  <c r="DM95" s="1"/>
  <c r="FT95" s="1"/>
  <c r="GF85"/>
  <c r="ER105"/>
  <c r="ET105" s="1"/>
  <c r="DK83"/>
  <c r="DM83" s="1"/>
  <c r="DK84"/>
  <c r="DM84" s="1"/>
  <c r="GG85"/>
  <c r="DK101"/>
  <c r="DM101" s="1"/>
  <c r="DK86"/>
  <c r="DM86" s="1"/>
  <c r="FT86" s="1"/>
  <c r="DK94"/>
  <c r="DM94" s="1"/>
  <c r="FT94" s="1"/>
  <c r="EI100"/>
  <c r="EK100" s="1"/>
  <c r="ER87"/>
  <c r="ET87" s="1"/>
  <c r="FV87" s="1"/>
  <c r="DJ114"/>
  <c r="FM114"/>
  <c r="GF91"/>
  <c r="GH91"/>
  <c r="GG91"/>
  <c r="EL103"/>
  <c r="FZ103" s="1"/>
  <c r="EE77"/>
  <c r="EC77"/>
  <c r="EA77" s="1"/>
  <c r="GH106"/>
  <c r="GF106"/>
  <c r="GG106"/>
  <c r="EU77"/>
  <c r="GA77" s="1"/>
  <c r="ER77"/>
  <c r="ET77" s="1"/>
  <c r="FV77" s="1"/>
  <c r="EL83"/>
  <c r="FZ83" s="1"/>
  <c r="DN77"/>
  <c r="FY77" s="1"/>
  <c r="DK77"/>
  <c r="DM77" s="1"/>
  <c r="FT77" s="1"/>
  <c r="GG84"/>
  <c r="GF84"/>
  <c r="GH84"/>
  <c r="DK105"/>
  <c r="DM105" s="1"/>
  <c r="DK102"/>
  <c r="DM102" s="1"/>
  <c r="ER84"/>
  <c r="ET84" s="1"/>
  <c r="EI101"/>
  <c r="EK101" s="1"/>
  <c r="EI104"/>
  <c r="EK104" s="1"/>
  <c r="FM73"/>
  <c r="DK85"/>
  <c r="DM85" s="1"/>
  <c r="DK104"/>
  <c r="DM104" s="1"/>
  <c r="EU69"/>
  <c r="CE69"/>
  <c r="CF69" s="1"/>
  <c r="CG69" s="1"/>
  <c r="FW69" s="1"/>
  <c r="GK87"/>
  <c r="GJ87"/>
  <c r="GI87"/>
  <c r="EL79"/>
  <c r="FZ79" s="1"/>
  <c r="EU76"/>
  <c r="GA76" s="1"/>
  <c r="ER76"/>
  <c r="ET76" s="1"/>
  <c r="FV76" s="1"/>
  <c r="ER109"/>
  <c r="ET109" s="1"/>
  <c r="FV109" s="1"/>
  <c r="ES70"/>
  <c r="ER70" s="1"/>
  <c r="ET70" s="1"/>
  <c r="EC69"/>
  <c r="EE69"/>
  <c r="EJ69" s="1"/>
  <c r="EL102"/>
  <c r="DK92"/>
  <c r="DM92" s="1"/>
  <c r="FT92" s="1"/>
  <c r="DK109"/>
  <c r="DM109" s="1"/>
  <c r="FT109" s="1"/>
  <c r="DL76"/>
  <c r="DN76" s="1"/>
  <c r="FY76" s="1"/>
  <c r="GI99"/>
  <c r="GJ99"/>
  <c r="GK99"/>
  <c r="FE69"/>
  <c r="DI69" s="1"/>
  <c r="DJ69" s="1"/>
  <c r="DL69" s="1"/>
  <c r="DN69" s="1"/>
  <c r="FR73"/>
  <c r="DK103"/>
  <c r="DM103" s="1"/>
  <c r="FT103" s="1"/>
  <c r="DL111"/>
  <c r="DN111" s="1"/>
  <c r="FY111" s="1"/>
  <c r="DK91"/>
  <c r="DM91" s="1"/>
  <c r="FT91" s="1"/>
  <c r="DL112"/>
  <c r="DN112" s="1"/>
  <c r="FY112" s="1"/>
  <c r="ER68"/>
  <c r="ET68" s="1"/>
  <c r="FV68" s="1"/>
  <c r="EL105"/>
  <c r="FZ105" s="1"/>
  <c r="DK106"/>
  <c r="DM106" s="1"/>
  <c r="FT106" s="1"/>
  <c r="DL68"/>
  <c r="DN68" s="1"/>
  <c r="FY68" s="1"/>
  <c r="FR69"/>
  <c r="DL73"/>
  <c r="DK73" s="1"/>
  <c r="DM73" s="1"/>
  <c r="FL70"/>
  <c r="GE70" s="1"/>
  <c r="GD70"/>
  <c r="FQ70"/>
  <c r="GC70"/>
  <c r="EC70"/>
  <c r="EE70"/>
  <c r="EJ70" s="1"/>
  <c r="EI88"/>
  <c r="EK88" s="1"/>
  <c r="FU88" s="1"/>
  <c r="EI82"/>
  <c r="EK82" s="1"/>
  <c r="FU82" s="1"/>
  <c r="DK81"/>
  <c r="DM81" s="1"/>
  <c r="DK100"/>
  <c r="DM100" s="1"/>
  <c r="EC73"/>
  <c r="EE73"/>
  <c r="EJ73" s="1"/>
  <c r="EU79"/>
  <c r="GA79" s="1"/>
  <c r="ER79"/>
  <c r="ET79" s="1"/>
  <c r="FV79" s="1"/>
  <c r="EI74"/>
  <c r="EK74" s="1"/>
  <c r="FU74" s="1"/>
  <c r="EI90"/>
  <c r="EK90" s="1"/>
  <c r="FX71"/>
  <c r="EL91"/>
  <c r="FZ91" s="1"/>
  <c r="DN79"/>
  <c r="FY79" s="1"/>
  <c r="DK79"/>
  <c r="DM79" s="1"/>
  <c r="FT79" s="1"/>
  <c r="ER102"/>
  <c r="ET102" s="1"/>
  <c r="DK90"/>
  <c r="DM90" s="1"/>
  <c r="ER99"/>
  <c r="ET99" s="1"/>
  <c r="FV99" s="1"/>
  <c r="FM68"/>
  <c r="EL68"/>
  <c r="FZ68" s="1"/>
  <c r="ER95"/>
  <c r="ET95" s="1"/>
  <c r="FV95" s="1"/>
  <c r="ER85"/>
  <c r="ET85" s="1"/>
  <c r="DK98"/>
  <c r="DM98" s="1"/>
  <c r="FT98" s="1"/>
  <c r="ER106"/>
  <c r="ET106" s="1"/>
  <c r="FV106" s="1"/>
  <c r="CE70"/>
  <c r="CF70" s="1"/>
  <c r="CG70" s="1"/>
  <c r="FW70" s="1"/>
  <c r="EI107"/>
  <c r="EK107" s="1"/>
  <c r="EC75"/>
  <c r="EE75"/>
  <c r="EJ75" s="1"/>
  <c r="DK99"/>
  <c r="DM99" s="1"/>
  <c r="FT99" s="1"/>
  <c r="DK89"/>
  <c r="DM89" s="1"/>
  <c r="FT89" s="1"/>
  <c r="EL76"/>
  <c r="FZ76" s="1"/>
  <c r="GK95"/>
  <c r="GI95"/>
  <c r="GJ95"/>
  <c r="EL106"/>
  <c r="FZ106" s="1"/>
  <c r="FE70"/>
  <c r="DI70" s="1"/>
  <c r="DJ70" s="1"/>
  <c r="FS71"/>
  <c r="FV71"/>
  <c r="GK105"/>
  <c r="GJ105"/>
  <c r="GI105"/>
  <c r="DK87"/>
  <c r="DM87" s="1"/>
  <c r="FT87" s="1"/>
  <c r="GK91"/>
  <c r="GI91"/>
  <c r="GJ91"/>
  <c r="EI78"/>
  <c r="EK78" s="1"/>
  <c r="FU78" s="1"/>
  <c r="DK107"/>
  <c r="DM107" s="1"/>
  <c r="DK108"/>
  <c r="DM108" s="1"/>
  <c r="FT108" s="1"/>
  <c r="EU73"/>
  <c r="CE73"/>
  <c r="CF73" s="1"/>
  <c r="CG73" s="1"/>
  <c r="FW73" s="1"/>
  <c r="DN75"/>
  <c r="FY75" s="1"/>
  <c r="DK75"/>
  <c r="DM75" s="1"/>
  <c r="FT75" s="1"/>
  <c r="GA68"/>
  <c r="FX68"/>
  <c r="EU75"/>
  <c r="GA75" s="1"/>
  <c r="ER75"/>
  <c r="ET75" s="1"/>
  <c r="FV75" s="1"/>
  <c r="ER91"/>
  <c r="ET91" s="1"/>
  <c r="FV91" s="1"/>
  <c r="DZ73" l="1"/>
  <c r="FO73"/>
  <c r="FN69"/>
  <c r="EA69"/>
  <c r="EB69"/>
  <c r="FN71"/>
  <c r="EA71"/>
  <c r="EB71"/>
  <c r="DZ77"/>
  <c r="FO71"/>
  <c r="FP118"/>
  <c r="FQ119"/>
  <c r="FN77"/>
  <c r="EB77"/>
  <c r="FN75"/>
  <c r="EB75"/>
  <c r="FN70"/>
  <c r="EB70"/>
  <c r="FN72"/>
  <c r="EA72"/>
  <c r="EB72"/>
  <c r="FL118"/>
  <c r="FL119"/>
  <c r="DZ69"/>
  <c r="FO69"/>
  <c r="DZ70"/>
  <c r="FN73"/>
  <c r="EB73"/>
  <c r="EA73"/>
  <c r="EA70"/>
  <c r="EA75"/>
  <c r="EI109"/>
  <c r="EK109" s="1"/>
  <c r="FU109" s="1"/>
  <c r="EI87"/>
  <c r="EK87" s="1"/>
  <c r="FU87" s="1"/>
  <c r="EI81"/>
  <c r="EK81" s="1"/>
  <c r="EI93"/>
  <c r="EK93" s="1"/>
  <c r="FU93" s="1"/>
  <c r="EI96"/>
  <c r="EK96" s="1"/>
  <c r="EL113"/>
  <c r="FZ113" s="1"/>
  <c r="EI97"/>
  <c r="EK97" s="1"/>
  <c r="FU97" s="1"/>
  <c r="EI111"/>
  <c r="EK111" s="1"/>
  <c r="FU111" s="1"/>
  <c r="EI108"/>
  <c r="EK108" s="1"/>
  <c r="FU108" s="1"/>
  <c r="EI84"/>
  <c r="EK84" s="1"/>
  <c r="EI95"/>
  <c r="EK95" s="1"/>
  <c r="FU95" s="1"/>
  <c r="EI110"/>
  <c r="EK110" s="1"/>
  <c r="FU110" s="1"/>
  <c r="EI99"/>
  <c r="EK99" s="1"/>
  <c r="FU99" s="1"/>
  <c r="EI89"/>
  <c r="EK89" s="1"/>
  <c r="FU89" s="1"/>
  <c r="EL72"/>
  <c r="FZ72" s="1"/>
  <c r="EI85"/>
  <c r="EK85" s="1"/>
  <c r="EL114"/>
  <c r="FZ114" s="1"/>
  <c r="EI86"/>
  <c r="EK86" s="1"/>
  <c r="FU86" s="1"/>
  <c r="EI92"/>
  <c r="EK92" s="1"/>
  <c r="FU92" s="1"/>
  <c r="EI80"/>
  <c r="EK80" s="1"/>
  <c r="FU80" s="1"/>
  <c r="EJ71"/>
  <c r="EL71" s="1"/>
  <c r="FZ71" s="1"/>
  <c r="EJ77"/>
  <c r="EL77" s="1"/>
  <c r="FZ77" s="1"/>
  <c r="FY72"/>
  <c r="FX72"/>
  <c r="GI72" s="1"/>
  <c r="DK72"/>
  <c r="DM72" s="1"/>
  <c r="FT72" s="1"/>
  <c r="FM72"/>
  <c r="FM69"/>
  <c r="FM119" s="1"/>
  <c r="GH68"/>
  <c r="GF68"/>
  <c r="GG72"/>
  <c r="GH72"/>
  <c r="GF72"/>
  <c r="FV70"/>
  <c r="DK111"/>
  <c r="DM111" s="1"/>
  <c r="FT111" s="1"/>
  <c r="DJ71"/>
  <c r="FM71"/>
  <c r="EI105"/>
  <c r="EK105" s="1"/>
  <c r="EU70"/>
  <c r="GA70" s="1"/>
  <c r="EI83"/>
  <c r="EK83" s="1"/>
  <c r="DN73"/>
  <c r="FY73" s="1"/>
  <c r="EI76"/>
  <c r="EK76" s="1"/>
  <c r="FU76" s="1"/>
  <c r="EI68"/>
  <c r="EK68" s="1"/>
  <c r="FU68" s="1"/>
  <c r="DK112"/>
  <c r="DM112" s="1"/>
  <c r="FT112" s="1"/>
  <c r="FM70"/>
  <c r="DK68"/>
  <c r="DM68" s="1"/>
  <c r="FT68" s="1"/>
  <c r="DK69"/>
  <c r="DM69" s="1"/>
  <c r="FT69" s="1"/>
  <c r="EI79"/>
  <c r="EK79" s="1"/>
  <c r="FU79" s="1"/>
  <c r="EI103"/>
  <c r="EK103" s="1"/>
  <c r="FU103" s="1"/>
  <c r="DL114"/>
  <c r="DN114" s="1"/>
  <c r="FY114" s="1"/>
  <c r="EI106"/>
  <c r="EK106" s="1"/>
  <c r="FU106" s="1"/>
  <c r="GJ68"/>
  <c r="GK68"/>
  <c r="GI68"/>
  <c r="GA73"/>
  <c r="FX73"/>
  <c r="GJ71"/>
  <c r="GK71"/>
  <c r="GI71"/>
  <c r="EL73"/>
  <c r="FZ73" s="1"/>
  <c r="DK76"/>
  <c r="DM76" s="1"/>
  <c r="FT76" s="1"/>
  <c r="FY69"/>
  <c r="FX69"/>
  <c r="GA69"/>
  <c r="GF71"/>
  <c r="GG71"/>
  <c r="GH71"/>
  <c r="FV73"/>
  <c r="FS73"/>
  <c r="FT73"/>
  <c r="FX70"/>
  <c r="EL70"/>
  <c r="FZ70" s="1"/>
  <c r="EI102"/>
  <c r="EK102" s="1"/>
  <c r="EL69"/>
  <c r="FZ69" s="1"/>
  <c r="GH70"/>
  <c r="GG70"/>
  <c r="GF70"/>
  <c r="EL75"/>
  <c r="FZ75" s="1"/>
  <c r="DL70"/>
  <c r="DN70" s="1"/>
  <c r="FY70" s="1"/>
  <c r="EI91"/>
  <c r="EK91" s="1"/>
  <c r="FU91" s="1"/>
  <c r="FV69"/>
  <c r="FS69"/>
  <c r="FM118" l="1"/>
  <c r="FN119"/>
  <c r="FN118"/>
  <c r="FO118"/>
  <c r="FO119"/>
  <c r="EI71"/>
  <c r="EK71" s="1"/>
  <c r="FU71" s="1"/>
  <c r="EI77"/>
  <c r="EK77" s="1"/>
  <c r="FU77" s="1"/>
  <c r="GJ72"/>
  <c r="GK72"/>
  <c r="DL71"/>
  <c r="DN71" s="1"/>
  <c r="FY71" s="1"/>
  <c r="DK114"/>
  <c r="DM114" s="1"/>
  <c r="FT114" s="1"/>
  <c r="EI75"/>
  <c r="EK75" s="1"/>
  <c r="FU75" s="1"/>
  <c r="DK70"/>
  <c r="DM70" s="1"/>
  <c r="FT70" s="1"/>
  <c r="EI69"/>
  <c r="EK69" s="1"/>
  <c r="FU69" s="1"/>
  <c r="GH69"/>
  <c r="GG69"/>
  <c r="GF69"/>
  <c r="GI69"/>
  <c r="GJ69"/>
  <c r="GK69"/>
  <c r="GI73"/>
  <c r="GJ73"/>
  <c r="GK73"/>
  <c r="EI70"/>
  <c r="EK70" s="1"/>
  <c r="FU70" s="1"/>
  <c r="GI70"/>
  <c r="GJ70"/>
  <c r="GK70"/>
  <c r="GH73"/>
  <c r="GF73"/>
  <c r="GG73"/>
  <c r="EI73"/>
  <c r="EK73" s="1"/>
  <c r="FU73" s="1"/>
  <c r="DK71" l="1"/>
  <c r="DM71" s="1"/>
  <c r="FT71" s="1"/>
</calcChain>
</file>

<file path=xl/sharedStrings.xml><?xml version="1.0" encoding="utf-8"?>
<sst xmlns="http://schemas.openxmlformats.org/spreadsheetml/2006/main" count="1151" uniqueCount="338">
  <si>
    <t>yes</t>
  </si>
  <si>
    <t>experimental distribution inflow (median)</t>
  </si>
  <si>
    <t>ppdb (Kfoc)</t>
  </si>
  <si>
    <t>natural</t>
  </si>
  <si>
    <t>grass (cut)</t>
  </si>
  <si>
    <t>silt loam</t>
  </si>
  <si>
    <t>maize</t>
  </si>
  <si>
    <t>PND</t>
  </si>
  <si>
    <t>Pendimethalin</t>
  </si>
  <si>
    <t>Stagnic Luvisol</t>
  </si>
  <si>
    <t>GS - 0</t>
  </si>
  <si>
    <t>DE</t>
  </si>
  <si>
    <t>Kleinhohenheim, BW</t>
  </si>
  <si>
    <t>Spatz (1999)</t>
  </si>
  <si>
    <t>GS - 20</t>
  </si>
  <si>
    <t>source and strip areas had to be estimated for 2089</t>
  </si>
  <si>
    <t>GS - 10</t>
  </si>
  <si>
    <t>source and strip areas had to be estimated for 2088</t>
  </si>
  <si>
    <t>GS - 5</t>
  </si>
  <si>
    <t>source and strip areas had to be estimated for 2087</t>
  </si>
  <si>
    <t>source and strip areas had to be estimated for 2086</t>
  </si>
  <si>
    <t>source and strip areas had to be estimated for 2085</t>
  </si>
  <si>
    <t>source and strip areas had to be estimated for 2084</t>
  </si>
  <si>
    <t>source and strip areas had to be estimated for 2083</t>
  </si>
  <si>
    <t>source and strip areas had to be estimated for 2082</t>
  </si>
  <si>
    <t>source and strip areas had to be estimated for 2081</t>
  </si>
  <si>
    <t>source and strip areas had to be estimated for 2080</t>
  </si>
  <si>
    <t>source and strip areas had to be estimated for 2079</t>
  </si>
  <si>
    <t>source and strip areas had to be estimated for 2077</t>
  </si>
  <si>
    <t>source and strip areas had to be estimated for 2076</t>
  </si>
  <si>
    <t>source and strip areas had to be estimated for 2075</t>
  </si>
  <si>
    <t>source and strip areas had to be estimated for 2074</t>
  </si>
  <si>
    <t>source and strip areas had to be estimated for 2073</t>
  </si>
  <si>
    <t>source and strip areas had to be estimated for 2067</t>
  </si>
  <si>
    <t>TBZ</t>
  </si>
  <si>
    <t>Terbuthylazin</t>
  </si>
  <si>
    <t>source and strip areas had to be estimated for 2054</t>
  </si>
  <si>
    <t>source and strip areas had to be estimated for 2053</t>
  </si>
  <si>
    <t>source and strip areas had to be estimated for 2052</t>
  </si>
  <si>
    <t>source and strip areas had to be estimated for 2051</t>
  </si>
  <si>
    <t>source and strip areas had to be estimated for 2050</t>
  </si>
  <si>
    <t>source and strip areas had to be estimated for 2049</t>
  </si>
  <si>
    <t>source and strip areas had to be estimated for 2048</t>
  </si>
  <si>
    <t>source and strip areas had to be estimated for 2047</t>
  </si>
  <si>
    <t>source and strip areas had to be estimated for 2046</t>
  </si>
  <si>
    <t>source and strip areas had to be estimated for 2045</t>
  </si>
  <si>
    <t>source and strip areas had to be estimated for 2044</t>
  </si>
  <si>
    <t>source and strip areas had to be estimated for 2042</t>
  </si>
  <si>
    <t>source and strip areas had to be estimated for 2041</t>
  </si>
  <si>
    <t>source and strip areas had to be estimated for 2040</t>
  </si>
  <si>
    <t>source and strip areas had to be estimated for 2039</t>
  </si>
  <si>
    <t>source and strip areas had to be estimated for 2038</t>
  </si>
  <si>
    <t>experimental distribution inflow (n=1)</t>
  </si>
  <si>
    <t>DET</t>
  </si>
  <si>
    <t>Desethyl-TBZ</t>
  </si>
  <si>
    <t>source and strip areas had to be estimated for 2005</t>
  </si>
  <si>
    <t>source and strip areas had to be estimated for 2003</t>
  </si>
  <si>
    <t>grass</t>
  </si>
  <si>
    <t>USA</t>
  </si>
  <si>
    <t>natural rainfall</t>
  </si>
  <si>
    <t>dossier</t>
  </si>
  <si>
    <t>permanent grass</t>
  </si>
  <si>
    <t>CLP</t>
  </si>
  <si>
    <t>chlorpyrifos</t>
  </si>
  <si>
    <t>PPDB</t>
  </si>
  <si>
    <t>silty clay loam</t>
  </si>
  <si>
    <t>45_1</t>
  </si>
  <si>
    <t>Ames, Iowa</t>
  </si>
  <si>
    <t>Boyd et al. (2003)</t>
  </si>
  <si>
    <t>ACT</t>
  </si>
  <si>
    <t>acetochlor</t>
  </si>
  <si>
    <t>ATR</t>
  </si>
  <si>
    <t>atrazine</t>
  </si>
  <si>
    <t>15_1</t>
  </si>
  <si>
    <t>empirical distribution in inflow</t>
  </si>
  <si>
    <t>DFF</t>
  </si>
  <si>
    <t>IPU: yes; DFF: to be discussed</t>
  </si>
  <si>
    <t>dissolved and particle-bound conc. had to be back-calculated from total conc.; experimental Kd in runoff available for some events, but not all</t>
  </si>
  <si>
    <t>EFSA conclusion</t>
  </si>
  <si>
    <t>winter wheat</t>
  </si>
  <si>
    <t>Néoluvisol (Luvic Cambisol)</t>
  </si>
  <si>
    <t>0_54</t>
  </si>
  <si>
    <t>FR</t>
  </si>
  <si>
    <t>Lecomte (1999)</t>
  </si>
  <si>
    <t>IPU</t>
  </si>
  <si>
    <t>6_60</t>
  </si>
  <si>
    <t>Bourg Dun, season 96/97</t>
  </si>
  <si>
    <t>experimentally determined in run-on</t>
  </si>
  <si>
    <t>Study</t>
  </si>
  <si>
    <t>kg</t>
  </si>
  <si>
    <t>L</t>
  </si>
  <si>
    <t>%</t>
  </si>
  <si>
    <t>mg</t>
  </si>
  <si>
    <t>mg/L</t>
  </si>
  <si>
    <t>unitless</t>
  </si>
  <si>
    <t>L/kg</t>
  </si>
  <si>
    <t>µg</t>
  </si>
  <si>
    <t>µg/kg</t>
  </si>
  <si>
    <t>µg/L</t>
  </si>
  <si>
    <t>g</t>
  </si>
  <si>
    <t>kg/ha</t>
  </si>
  <si>
    <t>kg/m3</t>
  </si>
  <si>
    <t>m3/ha</t>
  </si>
  <si>
    <t>g/m2</t>
  </si>
  <si>
    <t>mm</t>
  </si>
  <si>
    <t>m2</t>
  </si>
  <si>
    <t>m</t>
  </si>
  <si>
    <t>1:1 line</t>
  </si>
  <si>
    <t>label for plotting</t>
  </si>
  <si>
    <t>meas deltaP_part for plotting</t>
  </si>
  <si>
    <t>Ei for plotting diss</t>
  </si>
  <si>
    <t>deltaE for plotting part</t>
  </si>
  <si>
    <t>meas deltaP_diss for plotting</t>
  </si>
  <si>
    <t>Qi for plotting diss</t>
  </si>
  <si>
    <t>deltaQ for plotting diss</t>
  </si>
  <si>
    <t>meas deltaP for plotting</t>
  </si>
  <si>
    <t>deltaE for plotting</t>
  </si>
  <si>
    <t>deltaQ for plotting tot</t>
  </si>
  <si>
    <t>deltaP_part_Chen</t>
  </si>
  <si>
    <t>deltaP_part_dilut_eq</t>
  </si>
  <si>
    <t>deltaP_part_Sabbagh</t>
  </si>
  <si>
    <t>deltaP_part_meas</t>
  </si>
  <si>
    <t>row usable (deltaP_part)?</t>
  </si>
  <si>
    <t>deltaP_diss_meas</t>
  </si>
  <si>
    <t>deltaP_diss_Chen</t>
  </si>
  <si>
    <t>deltaP_diss_dilut_eq</t>
  </si>
  <si>
    <t>deltaP_diss_Sabbagh</t>
  </si>
  <si>
    <t>row usable (deltaP_diss)?</t>
  </si>
  <si>
    <t>deltaP_tot_Chen</t>
  </si>
  <si>
    <t>deltaP_tot_dilut_eq</t>
  </si>
  <si>
    <t>deltaP_tot_meas</t>
  </si>
  <si>
    <t>row usable (deltaP_tot)?</t>
  </si>
  <si>
    <t>usable for testing equations for deltaP_dissolved</t>
  </si>
  <si>
    <t>problem with data</t>
  </si>
  <si>
    <t>empirical Kd_out (So/Co)</t>
  </si>
  <si>
    <t>empirical fph_out (mod/mop)</t>
  </si>
  <si>
    <t>empirical Kd_in (Si/Ci)</t>
  </si>
  <si>
    <t>empirical fph_in (mid/mip)</t>
  </si>
  <si>
    <t>experimental Kd for event available?</t>
  </si>
  <si>
    <t>measured loads in both phases available (in- and outflow)?</t>
  </si>
  <si>
    <t>check So</t>
  </si>
  <si>
    <t>check Si</t>
  </si>
  <si>
    <t>deltaP_particle_bound</t>
  </si>
  <si>
    <t>deltaP_dissolved</t>
  </si>
  <si>
    <t>particle-bound pesticide outflow from VFS (mop)</t>
  </si>
  <si>
    <t>dissolved pesticide outflow from VFS (mod)</t>
  </si>
  <si>
    <t>total pesticide outflow from VFS (mo)</t>
  </si>
  <si>
    <t xml:space="preserve">sqrt(101 - deltaP) = int1 = 8.06 -0.07 * deltaQ + 0.02 * deltaE + 0.05 * clay - 2.17 * Cat + 0.02 * deltaQ/Cat - 0.0003 * deltaQ/deltaE </t>
  </si>
  <si>
    <t>101 - deltaP</t>
  </si>
  <si>
    <t>deltaP Chen et al. (2016)</t>
  </si>
  <si>
    <t>dissolved pesticide conc. in runoff after dilution with rainfall/snowmelt</t>
  </si>
  <si>
    <t>observed water volume infiltrated in VFS (Vf)</t>
  </si>
  <si>
    <t>observed sediment mass retained in VFS (Mf)</t>
  </si>
  <si>
    <t>predicted pesticide mass leaving the VFS (mo)</t>
  </si>
  <si>
    <t>predicted mass retained by the filter (mf)</t>
  </si>
  <si>
    <t>deltaP "dilution + equilibrium"; dP = (mi - mo)/mi = mf / mi</t>
  </si>
  <si>
    <t>term5</t>
  </si>
  <si>
    <t>term4</t>
  </si>
  <si>
    <t>term3</t>
  </si>
  <si>
    <t>term2</t>
  </si>
  <si>
    <t>term1</t>
  </si>
  <si>
    <t>deltaP Sabbagh</t>
  </si>
  <si>
    <t>frac_dissolved_out</t>
  </si>
  <si>
    <t>Fph_o = Qo/(Kd*Eo)</t>
  </si>
  <si>
    <t>frac_dissolved_in</t>
  </si>
  <si>
    <r>
      <rPr>
        <sz val="10"/>
        <color rgb="FFFF0000"/>
        <rFont val="Arial"/>
        <family val="2"/>
      </rPr>
      <t xml:space="preserve">Use generic / local Kd  </t>
    </r>
    <r>
      <rPr>
        <sz val="10"/>
        <color indexed="8"/>
        <rFont val="Arial"/>
        <family val="2"/>
      </rPr>
      <t xml:space="preserve">                                                                                                                                                            Fph_in = Qi/(Kd*Ei)</t>
    </r>
  </si>
  <si>
    <t>generic Kd (with Kd from local field where available)</t>
  </si>
  <si>
    <t>source Kd</t>
  </si>
  <si>
    <t>Kd in topsoil (with experimental Kd from event where available)</t>
  </si>
  <si>
    <t>Qi</t>
  </si>
  <si>
    <t>CCP</t>
  </si>
  <si>
    <t>source Koc</t>
  </si>
  <si>
    <t>VKOC</t>
  </si>
  <si>
    <t>OCP</t>
  </si>
  <si>
    <t>diff deltaP_dissolved</t>
  </si>
  <si>
    <t>deltaP (dissolved)</t>
  </si>
  <si>
    <t>VL</t>
  </si>
  <si>
    <t>compound</t>
  </si>
  <si>
    <t>rel. date of runoff event (DAT)</t>
  </si>
  <si>
    <t>appdate (approx)</t>
  </si>
  <si>
    <t>annee</t>
  </si>
  <si>
    <t>measured deltaP existing and &gt;=0</t>
  </si>
  <si>
    <t>measured deltaP &gt;=0</t>
  </si>
  <si>
    <t>deltaP</t>
  </si>
  <si>
    <t>deltaR</t>
  </si>
  <si>
    <t>measured deltaE existing and &gt;=0</t>
  </si>
  <si>
    <t>measured deltaE &gt;=0</t>
  </si>
  <si>
    <t>deltaE</t>
  </si>
  <si>
    <t>deltaQ</t>
  </si>
  <si>
    <t>measured deltaP_part existing and &gt;=0</t>
  </si>
  <si>
    <t>measured deltaP_part &gt;=0</t>
  </si>
  <si>
    <t>measured deltaP_diss existing and &gt;=0</t>
  </si>
  <si>
    <t>measured deltaP_diss &gt;=0</t>
  </si>
  <si>
    <t>particle-bound pesticide runoff outflux; either assuming eq. with Co or measured</t>
  </si>
  <si>
    <t>final dissolved pesticide runoff outflux</t>
  </si>
  <si>
    <t>dissolved pesticide runoff outflux from log plot</t>
  </si>
  <si>
    <t>dissolved pesticide runoff outflux calc</t>
  </si>
  <si>
    <t xml:space="preserve">total pesticide runoff outflux </t>
  </si>
  <si>
    <t>particle-bound pesticide conc. in runoff outflow; eq. with Co</t>
  </si>
  <si>
    <t>particle-bound pesticide conc. in runoff inflow</t>
  </si>
  <si>
    <t>dissolved pesticide conc. in runoff outflow</t>
  </si>
  <si>
    <t>total pesticide conc. in runoff (dissolved + particle-bound)</t>
  </si>
  <si>
    <t>sed outflow</t>
  </si>
  <si>
    <t>Sed outflow (Eo) normalized to source area</t>
  </si>
  <si>
    <t>slope a</t>
  </si>
  <si>
    <t>intercept b</t>
  </si>
  <si>
    <t>total runoff outflow, normalized to source area</t>
  </si>
  <si>
    <t>suspended sediment conc. in outflow</t>
  </si>
  <si>
    <t>sed outflow, normalized to source area</t>
  </si>
  <si>
    <t>total runoff outflow</t>
  </si>
  <si>
    <t>total runoff outflow, normalized to strip area</t>
  </si>
  <si>
    <t>particle-bound pesticide runoff influx</t>
  </si>
  <si>
    <t>final dissolved pesticide runoff influx</t>
  </si>
  <si>
    <t>dissolved pesticide runoff influx from log plot</t>
  </si>
  <si>
    <t>dissolved pesticide runoff influx calc.</t>
  </si>
  <si>
    <t>total pesticide runoff influx</t>
  </si>
  <si>
    <t>particle-bound pesticide conc. does not change</t>
  </si>
  <si>
    <t>dissolved pesticide conc. in runoff</t>
  </si>
  <si>
    <t>Sed inflow (Ei)</t>
  </si>
  <si>
    <t>suspended matter concentration in run-on</t>
  </si>
  <si>
    <t>Sed inflow (Ei) normalized to source area</t>
  </si>
  <si>
    <t>run-on from the source area</t>
  </si>
  <si>
    <t>total runoff inflow (run-on + precipitation + snowmelt)</t>
  </si>
  <si>
    <t>total runoff inflow (run-on + precipitation + snowmelt) normalized to strip area</t>
  </si>
  <si>
    <t>run-on from the source area, normalised to strip area</t>
  </si>
  <si>
    <t>run-on from the source area, normalized to source area</t>
  </si>
  <si>
    <t>event includes snowmelt or frozen soil (VRAI / FAUX)</t>
  </si>
  <si>
    <t>remarks precip</t>
  </si>
  <si>
    <t>rain + snowmelt - run-on</t>
  </si>
  <si>
    <t>snowmelt calc by difference</t>
  </si>
  <si>
    <t>rainfall alone</t>
  </si>
  <si>
    <t>rainfall + snowmelt</t>
  </si>
  <si>
    <t>end date of event (or sampling period)</t>
  </si>
  <si>
    <t>start date of event (or sampling period)</t>
  </si>
  <si>
    <t xml:space="preserve">time scale of experiment / design of simulated runoff study  </t>
  </si>
  <si>
    <t>method of runoff generation</t>
  </si>
  <si>
    <t>vegetation on strip</t>
  </si>
  <si>
    <t>VFS slope (%)</t>
  </si>
  <si>
    <t>soil texture (USDA)</t>
  </si>
  <si>
    <t>area ratio (source/strip)</t>
  </si>
  <si>
    <t>crop on source area</t>
  </si>
  <si>
    <t>LOQ part</t>
  </si>
  <si>
    <t>LOD part</t>
  </si>
  <si>
    <t>LOQ diss</t>
  </si>
  <si>
    <t>LOD diss</t>
  </si>
  <si>
    <t>LOQ eau brute</t>
  </si>
  <si>
    <t>LOD eau brute</t>
  </si>
  <si>
    <t>pesticide abbr.</t>
  </si>
  <si>
    <t>pesticide</t>
  </si>
  <si>
    <t>strip area</t>
  </si>
  <si>
    <t>FWIDTH</t>
  </si>
  <si>
    <t>source area</t>
  </si>
  <si>
    <t>soil type</t>
  </si>
  <si>
    <t>name of control variant</t>
  </si>
  <si>
    <t>name of variant</t>
  </si>
  <si>
    <t>country</t>
  </si>
  <si>
    <t>location</t>
  </si>
  <si>
    <t>include record usable for deltaPtot</t>
  </si>
  <si>
    <t>deltaE must be known</t>
  </si>
  <si>
    <t>mop = mo * Mo * Kd / (Vo + Mo * Kd)</t>
  </si>
  <si>
    <t>mod = mo - mop</t>
  </si>
  <si>
    <t>mo = mi * (1 - deltaP)</t>
  </si>
  <si>
    <t>int2</t>
  </si>
  <si>
    <t>Cat</t>
  </si>
  <si>
    <t>C'</t>
  </si>
  <si>
    <t>from plots?</t>
  </si>
  <si>
    <t>So * Eo</t>
  </si>
  <si>
    <t>mo</t>
  </si>
  <si>
    <t>So</t>
  </si>
  <si>
    <t>Co</t>
  </si>
  <si>
    <t>Eo</t>
  </si>
  <si>
    <t>y = ax+b</t>
  </si>
  <si>
    <t>Qo</t>
  </si>
  <si>
    <t>Si * Ei</t>
  </si>
  <si>
    <t>mid</t>
  </si>
  <si>
    <t>mi</t>
  </si>
  <si>
    <t>S' = Si</t>
  </si>
  <si>
    <t>Si = Ci * Kd</t>
  </si>
  <si>
    <t>Ci</t>
  </si>
  <si>
    <t>Ctot,i</t>
  </si>
  <si>
    <t>Ei</t>
  </si>
  <si>
    <t>Vin</t>
  </si>
  <si>
    <t xml:space="preserve"> flag for plotting</t>
  </si>
  <si>
    <t>snowfall must not be counted!</t>
  </si>
  <si>
    <t>plot</t>
  </si>
  <si>
    <t>row usable for plot?</t>
  </si>
  <si>
    <t>end date of event</t>
  </si>
  <si>
    <t>final record usable?</t>
  </si>
  <si>
    <t>non-log record usable?</t>
  </si>
  <si>
    <t>precision of VFS data point (if taken from non-log figures)</t>
  </si>
  <si>
    <t>precision of control data point (if taken from non-log figures)</t>
  </si>
  <si>
    <t>as implemented in VFSMOD</t>
  </si>
  <si>
    <t>pesticide category</t>
  </si>
  <si>
    <t>predicted with approach Chen et al. (2016)</t>
  </si>
  <si>
    <t>calc</t>
  </si>
  <si>
    <t xml:space="preserve">mo = mi - mf </t>
  </si>
  <si>
    <t xml:space="preserve">mf = min(mi, Mf * S' + Vf *C')) </t>
  </si>
  <si>
    <t>predicted with approach "dilution + constant particle-bound conc."</t>
  </si>
  <si>
    <t>deltaP = 24.79+0.54*deltaQ + 0.52*deltaE - 2.42ln(FpH+1) - 0.89(%C)</t>
  </si>
  <si>
    <t>predicted with approach Sabbagh et al.</t>
  </si>
  <si>
    <t>assumes instantaneous mixing of run-on and rainfall and sorption equilibrium</t>
  </si>
  <si>
    <t>% clay</t>
  </si>
  <si>
    <t>Koc</t>
  </si>
  <si>
    <t>OC in eroded sediment</t>
  </si>
  <si>
    <t>check_final</t>
  </si>
  <si>
    <t>check_inter</t>
  </si>
  <si>
    <t>meas</t>
  </si>
  <si>
    <t>mop</t>
  </si>
  <si>
    <t>mod</t>
  </si>
  <si>
    <t>meas (or back-calc)</t>
  </si>
  <si>
    <t>regression Webster and Shaw</t>
  </si>
  <si>
    <t>mip</t>
  </si>
  <si>
    <t>record usable (VRAI / FAUX)</t>
  </si>
  <si>
    <t>Trapp measued (%)</t>
  </si>
  <si>
    <t>record_usable</t>
  </si>
  <si>
    <t>dP_meas</t>
  </si>
  <si>
    <t>dP_Sabbagh_old</t>
  </si>
  <si>
    <t>count</t>
  </si>
  <si>
    <t>deltaQ&lt;100</t>
  </si>
  <si>
    <t>record_usable_for_val</t>
  </si>
  <si>
    <t>validation without deltaQ =100</t>
  </si>
  <si>
    <t>max</t>
  </si>
  <si>
    <t>calibration data Sabbagh et al. (2009)</t>
  </si>
  <si>
    <t>evaluation data Sabbagh et al. (2009)</t>
  </si>
  <si>
    <t>recalc deltaP_dilution with single equation (empirical Kd)</t>
  </si>
  <si>
    <t>recalc deltaP_dilution with single equation (Kd from generic Koc)</t>
  </si>
  <si>
    <t xml:space="preserve">deltaP/100% = min[(Vi + Kd * Ei), (deltaE/100% * Ei * Kd + deltaQ/100% * Vi)] / (Vi + Kd * Ei) </t>
  </si>
  <si>
    <t>Vi +Kd *Ei (with Kd based on generic Koc)</t>
  </si>
  <si>
    <t>Vi+Kd * Ei (with empirical Kd (Si/Ci)</t>
  </si>
  <si>
    <t>Vi+Kd*Ei (with mixed Kd in column DB)</t>
  </si>
  <si>
    <t>recalc deltaP_dilution with single equation (mixed Kd)</t>
  </si>
  <si>
    <t>checkdiff recalc (empirical Kd) to old deltaP from complex calc.</t>
  </si>
  <si>
    <t>checkdiff recalc (mixed Kd) to old deltaP from complex calc.</t>
  </si>
  <si>
    <t>checkdiff recalc (Kd from generic Koc) to old deltaP from complex calc.</t>
  </si>
  <si>
    <t>deltaP_tot_dilut_eq (empirical Kd = Si/Ci)</t>
  </si>
  <si>
    <t>new evaluation data (Kd from generic Koc)</t>
  </si>
  <si>
    <t>deltaPtot_dilution_eq</t>
  </si>
  <si>
    <t>new evaluation data (Fph from generic Koc)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</si>
</sst>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000"/>
    <numFmt numFmtId="166" formatCode="0.0"/>
    <numFmt numFmtId="167" formatCode="0.000000"/>
    <numFmt numFmtId="168" formatCode="_ * #,##0.00_ ;_ * \-#,##0.00_ ;_ * &quot;-&quot;??_ ;_ @_ "/>
    <numFmt numFmtId="169" formatCode="_-[$€]\ * #,##0.00_-;\-[$€]\ * #,##0.00_-;_-[$€]\ * &quot;-&quot;??_-;_-@_-"/>
  </numFmts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3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sz val="10"/>
      <color theme="0" tint="-0.499984740745262"/>
      <name val="Arial"/>
      <family val="2"/>
    </font>
    <font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7" fillId="0" borderId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</cellStyleXfs>
  <cellXfs count="14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2" fillId="0" borderId="1" xfId="0" applyFont="1" applyBorder="1"/>
    <xf numFmtId="0" fontId="2" fillId="0" borderId="0" xfId="0" applyFont="1" applyBorder="1"/>
    <xf numFmtId="0" fontId="3" fillId="0" borderId="1" xfId="0" applyFont="1" applyBorder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6" fillId="0" borderId="0" xfId="0" applyFont="1" applyBorder="1"/>
    <xf numFmtId="2" fontId="0" fillId="0" borderId="0" xfId="0" applyNumberFormat="1" applyBorder="1"/>
    <xf numFmtId="0" fontId="0" fillId="0" borderId="1" xfId="0" applyFill="1" applyBorder="1"/>
    <xf numFmtId="0" fontId="0" fillId="0" borderId="3" xfId="0" applyFill="1" applyBorder="1"/>
    <xf numFmtId="165" fontId="6" fillId="0" borderId="0" xfId="0" applyNumberFormat="1" applyFont="1" applyBorder="1"/>
    <xf numFmtId="0" fontId="0" fillId="0" borderId="0" xfId="0" applyFill="1" applyBorder="1"/>
    <xf numFmtId="14" fontId="0" fillId="0" borderId="0" xfId="0" applyNumberFormat="1" applyBorder="1"/>
    <xf numFmtId="0" fontId="0" fillId="0" borderId="4" xfId="0" applyBorder="1"/>
    <xf numFmtId="2" fontId="1" fillId="0" borderId="0" xfId="0" applyNumberFormat="1" applyFont="1"/>
    <xf numFmtId="2" fontId="2" fillId="0" borderId="0" xfId="0" applyNumberFormat="1" applyFont="1"/>
    <xf numFmtId="165" fontId="2" fillId="0" borderId="0" xfId="0" applyNumberFormat="1" applyFont="1" applyBorder="1"/>
    <xf numFmtId="2" fontId="1" fillId="0" borderId="0" xfId="0" applyNumberFormat="1" applyFont="1" applyBorder="1"/>
    <xf numFmtId="2" fontId="6" fillId="0" borderId="1" xfId="0" applyNumberFormat="1" applyFont="1" applyBorder="1"/>
    <xf numFmtId="2" fontId="6" fillId="0" borderId="0" xfId="0" applyNumberFormat="1" applyFont="1"/>
    <xf numFmtId="2" fontId="3" fillId="0" borderId="0" xfId="0" applyNumberFormat="1" applyFont="1"/>
    <xf numFmtId="165" fontId="3" fillId="0" borderId="0" xfId="0" applyNumberFormat="1" applyFont="1" applyBorder="1"/>
    <xf numFmtId="0" fontId="4" fillId="0" borderId="0" xfId="0" applyFont="1" applyBorder="1"/>
    <xf numFmtId="166" fontId="1" fillId="0" borderId="0" xfId="0" applyNumberFormat="1" applyFont="1" applyFill="1" applyBorder="1"/>
    <xf numFmtId="0" fontId="3" fillId="0" borderId="2" xfId="0" applyFont="1" applyBorder="1"/>
    <xf numFmtId="2" fontId="3" fillId="0" borderId="0" xfId="0" applyNumberFormat="1" applyFont="1" applyBorder="1"/>
    <xf numFmtId="2" fontId="0" fillId="0" borderId="0" xfId="0" applyNumberFormat="1" applyFill="1" applyBorder="1"/>
    <xf numFmtId="0" fontId="4" fillId="0" borderId="0" xfId="0" applyFont="1" applyFill="1" applyBorder="1"/>
    <xf numFmtId="164" fontId="1" fillId="0" borderId="0" xfId="0" applyNumberFormat="1" applyFont="1" applyBorder="1"/>
    <xf numFmtId="2" fontId="3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2" xfId="0" applyFill="1" applyBorder="1"/>
    <xf numFmtId="0" fontId="8" fillId="0" borderId="2" xfId="0" applyFont="1" applyBorder="1"/>
    <xf numFmtId="167" fontId="3" fillId="0" borderId="0" xfId="0" applyNumberFormat="1" applyFont="1" applyFill="1" applyBorder="1"/>
    <xf numFmtId="0" fontId="7" fillId="0" borderId="2" xfId="1" applyBorder="1"/>
    <xf numFmtId="0" fontId="3" fillId="0" borderId="0" xfId="0" applyFont="1" applyFill="1" applyBorder="1"/>
    <xf numFmtId="14" fontId="0" fillId="0" borderId="2" xfId="0" applyNumberFormat="1" applyBorder="1"/>
    <xf numFmtId="0" fontId="6" fillId="0" borderId="2" xfId="0" applyFont="1" applyBorder="1"/>
    <xf numFmtId="166" fontId="0" fillId="0" borderId="2" xfId="0" applyNumberFormat="1" applyBorder="1"/>
    <xf numFmtId="0" fontId="2" fillId="0" borderId="0" xfId="0" applyFont="1"/>
    <xf numFmtId="0" fontId="8" fillId="0" borderId="0" xfId="0" applyFont="1"/>
    <xf numFmtId="0" fontId="7" fillId="0" borderId="0" xfId="1" applyBorder="1"/>
    <xf numFmtId="14" fontId="0" fillId="0" borderId="0" xfId="0" applyNumberFormat="1"/>
    <xf numFmtId="166" fontId="0" fillId="0" borderId="0" xfId="0" applyNumberFormat="1"/>
    <xf numFmtId="14" fontId="7" fillId="0" borderId="0" xfId="1" applyNumberFormat="1" applyFont="1" applyAlignment="1">
      <alignment horizontal="center"/>
    </xf>
    <xf numFmtId="14" fontId="7" fillId="0" borderId="0" xfId="1" applyNumberFormat="1" applyFont="1" applyBorder="1" applyAlignment="1">
      <alignment horizontal="center"/>
    </xf>
    <xf numFmtId="164" fontId="0" fillId="0" borderId="2" xfId="0" applyNumberFormat="1" applyBorder="1"/>
    <xf numFmtId="2" fontId="0" fillId="0" borderId="2" xfId="0" applyNumberFormat="1" applyBorder="1"/>
    <xf numFmtId="0" fontId="0" fillId="0" borderId="4" xfId="0" applyFill="1" applyBorder="1"/>
    <xf numFmtId="0" fontId="0" fillId="0" borderId="5" xfId="0" applyFill="1" applyBorder="1"/>
    <xf numFmtId="0" fontId="4" fillId="0" borderId="2" xfId="0" applyFont="1" applyBorder="1"/>
    <xf numFmtId="2" fontId="1" fillId="0" borderId="2" xfId="0" applyNumberFormat="1" applyFont="1" applyBorder="1"/>
    <xf numFmtId="2" fontId="2" fillId="0" borderId="2" xfId="0" applyNumberFormat="1" applyFont="1" applyBorder="1"/>
    <xf numFmtId="165" fontId="2" fillId="0" borderId="2" xfId="0" applyNumberFormat="1" applyFont="1" applyBorder="1"/>
    <xf numFmtId="0" fontId="1" fillId="0" borderId="2" xfId="0" applyFont="1" applyBorder="1"/>
    <xf numFmtId="2" fontId="6" fillId="0" borderId="4" xfId="0" applyNumberFormat="1" applyFont="1" applyBorder="1"/>
    <xf numFmtId="2" fontId="6" fillId="0" borderId="2" xfId="0" applyNumberFormat="1" applyFont="1" applyBorder="1"/>
    <xf numFmtId="165" fontId="6" fillId="0" borderId="2" xfId="0" applyNumberFormat="1" applyFont="1" applyBorder="1"/>
    <xf numFmtId="0" fontId="3" fillId="0" borderId="4" xfId="0" applyFont="1" applyBorder="1"/>
    <xf numFmtId="2" fontId="3" fillId="0" borderId="2" xfId="0" applyNumberFormat="1" applyFont="1" applyBorder="1"/>
    <xf numFmtId="165" fontId="3" fillId="0" borderId="2" xfId="0" applyNumberFormat="1" applyFont="1" applyBorder="1"/>
    <xf numFmtId="166" fontId="1" fillId="0" borderId="2" xfId="0" applyNumberFormat="1" applyFont="1" applyFill="1" applyBorder="1"/>
    <xf numFmtId="2" fontId="0" fillId="0" borderId="2" xfId="0" applyNumberFormat="1" applyFill="1" applyBorder="1"/>
    <xf numFmtId="0" fontId="4" fillId="0" borderId="2" xfId="0" applyFont="1" applyFill="1" applyBorder="1"/>
    <xf numFmtId="164" fontId="1" fillId="0" borderId="2" xfId="0" applyNumberFormat="1" applyFont="1" applyBorder="1"/>
    <xf numFmtId="2" fontId="3" fillId="0" borderId="2" xfId="0" applyNumberFormat="1" applyFont="1" applyFill="1" applyBorder="1"/>
    <xf numFmtId="164" fontId="1" fillId="0" borderId="2" xfId="0" applyNumberFormat="1" applyFont="1" applyFill="1" applyBorder="1"/>
    <xf numFmtId="14" fontId="7" fillId="0" borderId="2" xfId="1" applyNumberFormat="1" applyFont="1" applyBorder="1" applyAlignment="1">
      <alignment horizontal="center"/>
    </xf>
    <xf numFmtId="167" fontId="3" fillId="0" borderId="2" xfId="0" applyNumberFormat="1" applyFont="1" applyFill="1" applyBorder="1"/>
    <xf numFmtId="0" fontId="3" fillId="0" borderId="2" xfId="0" applyFont="1" applyFill="1" applyBorder="1"/>
    <xf numFmtId="2" fontId="2" fillId="0" borderId="0" xfId="0" applyNumberFormat="1" applyFont="1" applyBorder="1"/>
    <xf numFmtId="2" fontId="6" fillId="0" borderId="0" xfId="0" applyNumberFormat="1" applyFont="1" applyBorder="1"/>
    <xf numFmtId="0" fontId="3" fillId="0" borderId="0" xfId="0" applyFont="1" applyBorder="1"/>
    <xf numFmtId="0" fontId="8" fillId="0" borderId="0" xfId="0" applyFont="1" applyBorder="1"/>
    <xf numFmtId="166" fontId="0" fillId="0" borderId="0" xfId="0" applyNumberFormat="1" applyBorder="1"/>
    <xf numFmtId="0" fontId="6" fillId="0" borderId="0" xfId="0" applyFont="1" applyFill="1" applyBorder="1"/>
    <xf numFmtId="0" fontId="5" fillId="0" borderId="2" xfId="0" applyFont="1" applyBorder="1"/>
    <xf numFmtId="0" fontId="2" fillId="0" borderId="0" xfId="0" applyFont="1" applyFill="1" applyBorder="1"/>
    <xf numFmtId="1" fontId="0" fillId="0" borderId="0" xfId="0" applyNumberFormat="1"/>
    <xf numFmtId="0" fontId="5" fillId="0" borderId="0" xfId="0" applyFont="1" applyBorder="1"/>
    <xf numFmtId="164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6" fontId="4" fillId="0" borderId="0" xfId="0" applyNumberFormat="1" applyFont="1" applyFill="1" applyBorder="1"/>
    <xf numFmtId="0" fontId="6" fillId="0" borderId="0" xfId="0" applyFont="1"/>
    <xf numFmtId="20" fontId="0" fillId="0" borderId="2" xfId="0" applyNumberFormat="1" applyBorder="1"/>
    <xf numFmtId="20" fontId="0" fillId="0" borderId="0" xfId="0" applyNumberFormat="1"/>
    <xf numFmtId="0" fontId="0" fillId="0" borderId="6" xfId="0" applyBorder="1"/>
    <xf numFmtId="0" fontId="1" fillId="0" borderId="3" xfId="0" applyFont="1" applyFill="1" applyBorder="1"/>
    <xf numFmtId="0" fontId="6" fillId="0" borderId="1" xfId="0" applyFont="1" applyBorder="1"/>
    <xf numFmtId="17" fontId="0" fillId="0" borderId="0" xfId="0" applyNumberFormat="1" applyFill="1" applyBorder="1"/>
    <xf numFmtId="164" fontId="0" fillId="0" borderId="5" xfId="0" applyNumberFormat="1" applyBorder="1"/>
    <xf numFmtId="17" fontId="0" fillId="0" borderId="2" xfId="0" applyNumberFormat="1" applyFill="1" applyBorder="1"/>
    <xf numFmtId="0" fontId="6" fillId="0" borderId="3" xfId="0" applyFont="1" applyBorder="1"/>
    <xf numFmtId="0" fontId="11" fillId="0" borderId="0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13" fillId="0" borderId="7" xfId="0" applyFont="1" applyFill="1" applyBorder="1" applyAlignment="1">
      <alignment wrapText="1"/>
    </xf>
    <xf numFmtId="0" fontId="14" fillId="0" borderId="4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14" fillId="0" borderId="7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1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6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9">
    <cellStyle name="Comma 2" xfId="4"/>
    <cellStyle name="Comma 3" xfId="5"/>
    <cellStyle name="Euro" xfId="6"/>
    <cellStyle name="Euro 2" xfId="7"/>
    <cellStyle name="Normal" xfId="0" builtinId="0"/>
    <cellStyle name="Normal 2" xfId="3"/>
    <cellStyle name="Normal 3" xfId="2"/>
    <cellStyle name="Normal 4" xfId="1"/>
    <cellStyle name="Stile 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5913118810063962E-2"/>
          <c:y val="3.2963596888939045E-2"/>
          <c:w val="0.89773041796063402"/>
          <c:h val="0.8742046730393167"/>
        </c:manualLayout>
      </c:layout>
      <c:scatterChart>
        <c:scatterStyle val="lineMarker"/>
        <c:ser>
          <c:idx val="0"/>
          <c:order val="0"/>
          <c:tx>
            <c:strRef>
              <c:f>VFS_datapoints!$FM$3</c:f>
              <c:strCache>
                <c:ptCount val="1"/>
                <c:pt idx="0">
                  <c:v>new evaluation data (Fph from generic Koc)</c:v>
                </c:pt>
              </c:strCache>
            </c:strRef>
          </c:tx>
          <c:spPr>
            <a:ln w="25400">
              <a:noFill/>
            </a:ln>
          </c:spPr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49917828484167726"/>
                  <c:y val="0.248963144760819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fr-FR"/>
                </a:p>
              </c:txPr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VFS_datapoints!$FM$68:$FM$114</c:f>
              <c:numCache>
                <c:formatCode>General</c:formatCode>
                <c:ptCount val="47"/>
                <c:pt idx="0">
                  <c:v>85.097651873661761</c:v>
                </c:pt>
                <c:pt idx="1">
                  <c:v>93.958649275401598</c:v>
                </c:pt>
                <c:pt idx="2">
                  <c:v>65.155625626943205</c:v>
                </c:pt>
                <c:pt idx="3">
                  <c:v>73.946743936042012</c:v>
                </c:pt>
                <c:pt idx="4">
                  <c:v>71.122583467390427</c:v>
                </c:pt>
                <c:pt idx="5">
                  <c:v>79.971769179882102</c:v>
                </c:pt>
                <c:pt idx="6">
                  <c:v>82.68020208635491</c:v>
                </c:pt>
                <c:pt idx="7">
                  <c:v>83.86033392919191</c:v>
                </c:pt>
                <c:pt idx="8">
                  <c:v>89.597950992513034</c:v>
                </c:pt>
                <c:pt idx="9">
                  <c:v>70.345046830101182</c:v>
                </c:pt>
                <c:pt idx="10">
                  <c:v>71.522297190226951</c:v>
                </c:pt>
                <c:pt idx="11">
                  <c:v>77.188544349158846</c:v>
                </c:pt>
                <c:pt idx="12">
                  <c:v>18.958358767130299</c:v>
                </c:pt>
                <c:pt idx="13">
                  <c:v>73.336448825416028</c:v>
                </c:pt>
                <c:pt idx="14">
                  <c:v>21.384301631025522</c:v>
                </c:pt>
                <c:pt idx="15">
                  <c:v>57.776780313852854</c:v>
                </c:pt>
                <c:pt idx="16">
                  <c:v>75.859399554396774</c:v>
                </c:pt>
                <c:pt idx="18">
                  <c:v>96.501722392380032</c:v>
                </c:pt>
                <c:pt idx="19">
                  <c:v>40.305902396597922</c:v>
                </c:pt>
                <c:pt idx="20">
                  <c:v>79.851251130126727</c:v>
                </c:pt>
                <c:pt idx="21">
                  <c:v>94.962479599591504</c:v>
                </c:pt>
                <c:pt idx="23">
                  <c:v>88.801284402024422</c:v>
                </c:pt>
                <c:pt idx="24">
                  <c:v>88.301240514854541</c:v>
                </c:pt>
                <c:pt idx="25">
                  <c:v>86.422814484096179</c:v>
                </c:pt>
                <c:pt idx="26">
                  <c:v>93.646973652798195</c:v>
                </c:pt>
                <c:pt idx="27">
                  <c:v>92.096953350379849</c:v>
                </c:pt>
                <c:pt idx="28">
                  <c:v>37.498462387436781</c:v>
                </c:pt>
                <c:pt idx="29">
                  <c:v>90.801462236340427</c:v>
                </c:pt>
                <c:pt idx="30">
                  <c:v>92.308727765550543</c:v>
                </c:pt>
                <c:pt idx="31">
                  <c:v>26.224311907592757</c:v>
                </c:pt>
                <c:pt idx="32">
                  <c:v>63.158633398687854</c:v>
                </c:pt>
                <c:pt idx="33">
                  <c:v>81.987812540135764</c:v>
                </c:pt>
                <c:pt idx="35">
                  <c:v>105.74150654059737</c:v>
                </c:pt>
                <c:pt idx="36">
                  <c:v>45.544678812289604</c:v>
                </c:pt>
                <c:pt idx="37">
                  <c:v>85.709948920658164</c:v>
                </c:pt>
                <c:pt idx="38">
                  <c:v>101.61890728153485</c:v>
                </c:pt>
                <c:pt idx="40">
                  <c:v>96.767783049100103</c:v>
                </c:pt>
                <c:pt idx="41">
                  <c:v>96.955378114962642</c:v>
                </c:pt>
                <c:pt idx="42">
                  <c:v>95.905540466284378</c:v>
                </c:pt>
                <c:pt idx="43">
                  <c:v>103.31512947428187</c:v>
                </c:pt>
                <c:pt idx="44">
                  <c:v>101.87295299209993</c:v>
                </c:pt>
                <c:pt idx="45">
                  <c:v>43.619129717461931</c:v>
                </c:pt>
                <c:pt idx="46">
                  <c:v>97.760707367661311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ser>
          <c:idx val="2"/>
          <c:order val="2"/>
          <c:tx>
            <c:strRef>
              <c:f>data_Sabbagh!$A$1</c:f>
              <c:strCache>
                <c:ptCount val="1"/>
                <c:pt idx="0">
                  <c:v>calibration data Sabbagh et al. (2009)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data_Sabbagh!$B$5:$B$51</c:f>
              <c:numCache>
                <c:formatCode>General</c:formatCode>
                <c:ptCount val="47"/>
                <c:pt idx="0">
                  <c:v>52.718439472785406</c:v>
                </c:pt>
                <c:pt idx="1">
                  <c:v>46.741460118622534</c:v>
                </c:pt>
                <c:pt idx="2">
                  <c:v>47.999066111333718</c:v>
                </c:pt>
                <c:pt idx="3">
                  <c:v>54.61997310743287</c:v>
                </c:pt>
                <c:pt idx="4">
                  <c:v>83.11794142119119</c:v>
                </c:pt>
                <c:pt idx="5">
                  <c:v>76.560872733840995</c:v>
                </c:pt>
                <c:pt idx="7">
                  <c:v>87.14327797917619</c:v>
                </c:pt>
                <c:pt idx="8">
                  <c:v>52.531653593113738</c:v>
                </c:pt>
                <c:pt idx="9">
                  <c:v>51.761618583580152</c:v>
                </c:pt>
                <c:pt idx="10">
                  <c:v>75.701491655294092</c:v>
                </c:pt>
                <c:pt idx="11">
                  <c:v>91.944444444444457</c:v>
                </c:pt>
                <c:pt idx="12">
                  <c:v>99.985943775100409</c:v>
                </c:pt>
                <c:pt idx="13">
                  <c:v>97.77274015301785</c:v>
                </c:pt>
                <c:pt idx="14">
                  <c:v>98.867740361151775</c:v>
                </c:pt>
                <c:pt idx="17">
                  <c:v>91.979695431472081</c:v>
                </c:pt>
                <c:pt idx="18">
                  <c:v>99.852077562326869</c:v>
                </c:pt>
                <c:pt idx="19">
                  <c:v>96.074561403508767</c:v>
                </c:pt>
                <c:pt idx="20">
                  <c:v>95.376712328767127</c:v>
                </c:pt>
                <c:pt idx="21">
                  <c:v>99.379310344827587</c:v>
                </c:pt>
                <c:pt idx="22">
                  <c:v>99.636118598382751</c:v>
                </c:pt>
                <c:pt idx="23">
                  <c:v>63</c:v>
                </c:pt>
                <c:pt idx="24">
                  <c:v>90</c:v>
                </c:pt>
                <c:pt idx="25">
                  <c:v>32</c:v>
                </c:pt>
                <c:pt idx="26">
                  <c:v>68</c:v>
                </c:pt>
                <c:pt idx="27">
                  <c:v>52</c:v>
                </c:pt>
                <c:pt idx="28">
                  <c:v>61</c:v>
                </c:pt>
                <c:pt idx="29">
                  <c:v>71</c:v>
                </c:pt>
                <c:pt idx="30">
                  <c:v>92</c:v>
                </c:pt>
                <c:pt idx="31">
                  <c:v>41</c:v>
                </c:pt>
                <c:pt idx="32">
                  <c:v>73</c:v>
                </c:pt>
                <c:pt idx="33">
                  <c:v>56</c:v>
                </c:pt>
                <c:pt idx="34">
                  <c:v>69</c:v>
                </c:pt>
                <c:pt idx="35">
                  <c:v>89</c:v>
                </c:pt>
                <c:pt idx="36">
                  <c:v>96</c:v>
                </c:pt>
                <c:pt idx="37">
                  <c:v>53</c:v>
                </c:pt>
                <c:pt idx="38">
                  <c:v>90</c:v>
                </c:pt>
                <c:pt idx="39">
                  <c:v>69</c:v>
                </c:pt>
                <c:pt idx="40">
                  <c:v>81</c:v>
                </c:pt>
                <c:pt idx="41">
                  <c:v>65</c:v>
                </c:pt>
                <c:pt idx="42">
                  <c:v>88</c:v>
                </c:pt>
                <c:pt idx="43">
                  <c:v>44</c:v>
                </c:pt>
                <c:pt idx="44">
                  <c:v>85</c:v>
                </c:pt>
                <c:pt idx="45">
                  <c:v>54</c:v>
                </c:pt>
                <c:pt idx="46">
                  <c:v>65</c:v>
                </c:pt>
              </c:numCache>
            </c:numRef>
          </c:xVal>
          <c:yVal>
            <c:numRef>
              <c:f>data_Sabbagh!$C$5:$C$51</c:f>
              <c:numCache>
                <c:formatCode>General</c:formatCode>
                <c:ptCount val="47"/>
                <c:pt idx="0">
                  <c:v>64.148808423963544</c:v>
                </c:pt>
                <c:pt idx="1">
                  <c:v>57.896808424555843</c:v>
                </c:pt>
                <c:pt idx="2">
                  <c:v>56.12393232927829</c:v>
                </c:pt>
                <c:pt idx="3">
                  <c:v>62.375932328680435</c:v>
                </c:pt>
                <c:pt idx="4">
                  <c:v>72.456206608578654</c:v>
                </c:pt>
                <c:pt idx="5">
                  <c:v>66.204206608850157</c:v>
                </c:pt>
                <c:pt idx="7">
                  <c:v>91.018146517447832</c:v>
                </c:pt>
                <c:pt idx="8">
                  <c:v>35.245903733740512</c:v>
                </c:pt>
                <c:pt idx="9">
                  <c:v>40.182193227134185</c:v>
                </c:pt>
                <c:pt idx="10">
                  <c:v>66.29070890489642</c:v>
                </c:pt>
                <c:pt idx="11">
                  <c:v>97.675231048368971</c:v>
                </c:pt>
                <c:pt idx="12">
                  <c:v>103.14706966468393</c:v>
                </c:pt>
                <c:pt idx="13">
                  <c:v>93.766583569702576</c:v>
                </c:pt>
                <c:pt idx="14">
                  <c:v>99.986242452251787</c:v>
                </c:pt>
                <c:pt idx="17">
                  <c:v>99.282479224206753</c:v>
                </c:pt>
                <c:pt idx="18">
                  <c:v>101.62571795455206</c:v>
                </c:pt>
                <c:pt idx="19">
                  <c:v>103.14244901564508</c:v>
                </c:pt>
                <c:pt idx="20">
                  <c:v>95.913069529932713</c:v>
                </c:pt>
                <c:pt idx="21">
                  <c:v>106.23039640855019</c:v>
                </c:pt>
                <c:pt idx="22">
                  <c:v>95.114838052267004</c:v>
                </c:pt>
                <c:pt idx="23">
                  <c:v>69.794658716560761</c:v>
                </c:pt>
                <c:pt idx="24">
                  <c:v>84.862326047757506</c:v>
                </c:pt>
                <c:pt idx="25">
                  <c:v>52.375868834241459</c:v>
                </c:pt>
                <c:pt idx="26">
                  <c:v>74.059642355662049</c:v>
                </c:pt>
                <c:pt idx="27">
                  <c:v>59.885889443085588</c:v>
                </c:pt>
                <c:pt idx="28">
                  <c:v>65.507151377288707</c:v>
                </c:pt>
                <c:pt idx="29">
                  <c:v>69.392391984139991</c:v>
                </c:pt>
                <c:pt idx="30">
                  <c:v>84.460059315336736</c:v>
                </c:pt>
                <c:pt idx="31">
                  <c:v>51.973602101820688</c:v>
                </c:pt>
                <c:pt idx="32">
                  <c:v>73.657375623241279</c:v>
                </c:pt>
                <c:pt idx="33">
                  <c:v>59.483622710664818</c:v>
                </c:pt>
                <c:pt idx="34">
                  <c:v>65.104884644867937</c:v>
                </c:pt>
                <c:pt idx="35">
                  <c:v>78.63306978379758</c:v>
                </c:pt>
                <c:pt idx="36">
                  <c:v>93.700737114994325</c:v>
                </c:pt>
                <c:pt idx="37">
                  <c:v>61.214279901478278</c:v>
                </c:pt>
                <c:pt idx="38">
                  <c:v>82.898053422898869</c:v>
                </c:pt>
                <c:pt idx="39">
                  <c:v>68.724300510322408</c:v>
                </c:pt>
                <c:pt idx="40">
                  <c:v>74.345562444525527</c:v>
                </c:pt>
                <c:pt idx="41">
                  <c:v>63.092655199949576</c:v>
                </c:pt>
                <c:pt idx="42">
                  <c:v>78.160322531146321</c:v>
                </c:pt>
                <c:pt idx="43">
                  <c:v>45.673865317630273</c:v>
                </c:pt>
                <c:pt idx="44">
                  <c:v>67.357638839050864</c:v>
                </c:pt>
                <c:pt idx="45">
                  <c:v>53.183885926474403</c:v>
                </c:pt>
                <c:pt idx="46">
                  <c:v>58.805147860677522</c:v>
                </c:pt>
              </c:numCache>
            </c:numRef>
          </c:yVal>
        </c:ser>
        <c:ser>
          <c:idx val="3"/>
          <c:order val="3"/>
          <c:tx>
            <c:strRef>
              <c:f>data_Sabbagh!$E$1</c:f>
              <c:strCache>
                <c:ptCount val="1"/>
                <c:pt idx="0">
                  <c:v>evaluation data Sabbagh et al. (2009)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data_Sabbagh!$L$4:$L$107</c:f>
              <c:numCache>
                <c:formatCode>General</c:formatCode>
                <c:ptCount val="104"/>
                <c:pt idx="0">
                  <c:v>92.063400201109729</c:v>
                </c:pt>
                <c:pt idx="1">
                  <c:v>93.619468578414711</c:v>
                </c:pt>
                <c:pt idx="2">
                  <c:v>95.081492841796106</c:v>
                </c:pt>
                <c:pt idx="3">
                  <c:v>94.736423285322616</c:v>
                </c:pt>
                <c:pt idx="4">
                  <c:v>97.721238778005244</c:v>
                </c:pt>
                <c:pt idx="5">
                  <c:v>93.023035358801792</c:v>
                </c:pt>
                <c:pt idx="6">
                  <c:v>94.625082946250828</c:v>
                </c:pt>
                <c:pt idx="7">
                  <c:v>95.111700951117001</c:v>
                </c:pt>
                <c:pt idx="8">
                  <c:v>94.413372515562301</c:v>
                </c:pt>
                <c:pt idx="9">
                  <c:v>97.661705690902764</c:v>
                </c:pt>
                <c:pt idx="10">
                  <c:v>67.21311475409837</c:v>
                </c:pt>
                <c:pt idx="11">
                  <c:v>81.420765027322403</c:v>
                </c:pt>
                <c:pt idx="12">
                  <c:v>82.513661202185801</c:v>
                </c:pt>
                <c:pt idx="13">
                  <c:v>79.78142076502732</c:v>
                </c:pt>
                <c:pt idx="14">
                  <c:v>89.617486338797818</c:v>
                </c:pt>
                <c:pt idx="15">
                  <c:v>73.493975903614455</c:v>
                </c:pt>
                <c:pt idx="16">
                  <c:v>81.445783132530124</c:v>
                </c:pt>
                <c:pt idx="17">
                  <c:v>88.192771084337352</c:v>
                </c:pt>
                <c:pt idx="18">
                  <c:v>86.024096385542165</c:v>
                </c:pt>
                <c:pt idx="19">
                  <c:v>95.903614457831324</c:v>
                </c:pt>
                <c:pt idx="20">
                  <c:v>14.12</c:v>
                </c:pt>
                <c:pt idx="21">
                  <c:v>11.14</c:v>
                </c:pt>
                <c:pt idx="22">
                  <c:v>50.09</c:v>
                </c:pt>
                <c:pt idx="23">
                  <c:v>37.53</c:v>
                </c:pt>
                <c:pt idx="24">
                  <c:v>99.94</c:v>
                </c:pt>
                <c:pt idx="25">
                  <c:v>99.79</c:v>
                </c:pt>
                <c:pt idx="26">
                  <c:v>56.72</c:v>
                </c:pt>
                <c:pt idx="27">
                  <c:v>49.91</c:v>
                </c:pt>
                <c:pt idx="28">
                  <c:v>94.94</c:v>
                </c:pt>
                <c:pt idx="29">
                  <c:v>60.23</c:v>
                </c:pt>
                <c:pt idx="30">
                  <c:v>54.93</c:v>
                </c:pt>
                <c:pt idx="31">
                  <c:v>27.39</c:v>
                </c:pt>
                <c:pt idx="32">
                  <c:v>15.73</c:v>
                </c:pt>
                <c:pt idx="33">
                  <c:v>37.67</c:v>
                </c:pt>
                <c:pt idx="34">
                  <c:v>27.38</c:v>
                </c:pt>
                <c:pt idx="35">
                  <c:v>99.86</c:v>
                </c:pt>
                <c:pt idx="36">
                  <c:v>99.82</c:v>
                </c:pt>
                <c:pt idx="37">
                  <c:v>47.74</c:v>
                </c:pt>
                <c:pt idx="38">
                  <c:v>53.74</c:v>
                </c:pt>
                <c:pt idx="39">
                  <c:v>97.56</c:v>
                </c:pt>
                <c:pt idx="40">
                  <c:v>71.709999999999994</c:v>
                </c:pt>
                <c:pt idx="41">
                  <c:v>73.03</c:v>
                </c:pt>
                <c:pt idx="42">
                  <c:v>21.51</c:v>
                </c:pt>
                <c:pt idx="43">
                  <c:v>7.99</c:v>
                </c:pt>
                <c:pt idx="44">
                  <c:v>37.72</c:v>
                </c:pt>
                <c:pt idx="45">
                  <c:v>35.75</c:v>
                </c:pt>
                <c:pt idx="46">
                  <c:v>99.98</c:v>
                </c:pt>
                <c:pt idx="47">
                  <c:v>99.81</c:v>
                </c:pt>
                <c:pt idx="48">
                  <c:v>47.42</c:v>
                </c:pt>
                <c:pt idx="49">
                  <c:v>48.87</c:v>
                </c:pt>
                <c:pt idx="50">
                  <c:v>95.58</c:v>
                </c:pt>
                <c:pt idx="51">
                  <c:v>70.239999999999995</c:v>
                </c:pt>
                <c:pt idx="52">
                  <c:v>67.62</c:v>
                </c:pt>
                <c:pt idx="53">
                  <c:v>80.4983498349835</c:v>
                </c:pt>
                <c:pt idx="54">
                  <c:v>85.040540540540547</c:v>
                </c:pt>
                <c:pt idx="55">
                  <c:v>72.009681449094316</c:v>
                </c:pt>
                <c:pt idx="56">
                  <c:v>74.747058823529414</c:v>
                </c:pt>
                <c:pt idx="57">
                  <c:v>53.824473975636764</c:v>
                </c:pt>
                <c:pt idx="58">
                  <c:v>47.150724809885922</c:v>
                </c:pt>
                <c:pt idx="59">
                  <c:v>85.179596174282679</c:v>
                </c:pt>
                <c:pt idx="60">
                  <c:v>85.050452781371291</c:v>
                </c:pt>
                <c:pt idx="61">
                  <c:v>73.621553884711773</c:v>
                </c:pt>
                <c:pt idx="62">
                  <c:v>72.199152542372886</c:v>
                </c:pt>
                <c:pt idx="63">
                  <c:v>58.244493392070481</c:v>
                </c:pt>
                <c:pt idx="64">
                  <c:v>48.351668726823249</c:v>
                </c:pt>
                <c:pt idx="65">
                  <c:v>44</c:v>
                </c:pt>
                <c:pt idx="66">
                  <c:v>60</c:v>
                </c:pt>
                <c:pt idx="67">
                  <c:v>97</c:v>
                </c:pt>
                <c:pt idx="68">
                  <c:v>72</c:v>
                </c:pt>
                <c:pt idx="69">
                  <c:v>100</c:v>
                </c:pt>
                <c:pt idx="70">
                  <c:v>100</c:v>
                </c:pt>
                <c:pt idx="71">
                  <c:v>97</c:v>
                </c:pt>
                <c:pt idx="72">
                  <c:v>99.8</c:v>
                </c:pt>
                <c:pt idx="73">
                  <c:v>100</c:v>
                </c:pt>
                <c:pt idx="74">
                  <c:v>93</c:v>
                </c:pt>
                <c:pt idx="75">
                  <c:v>99</c:v>
                </c:pt>
                <c:pt idx="76">
                  <c:v>100</c:v>
                </c:pt>
                <c:pt idx="77">
                  <c:v>99.7</c:v>
                </c:pt>
                <c:pt idx="78">
                  <c:v>99.9</c:v>
                </c:pt>
                <c:pt idx="79">
                  <c:v>99.9</c:v>
                </c:pt>
                <c:pt idx="80">
                  <c:v>97.4</c:v>
                </c:pt>
                <c:pt idx="81">
                  <c:v>99.8</c:v>
                </c:pt>
                <c:pt idx="82">
                  <c:v>99.9</c:v>
                </c:pt>
                <c:pt idx="83">
                  <c:v>98.512237011592958</c:v>
                </c:pt>
                <c:pt idx="84">
                  <c:v>94.35406178928271</c:v>
                </c:pt>
                <c:pt idx="85">
                  <c:v>100</c:v>
                </c:pt>
                <c:pt idx="86">
                  <c:v>99.724176287161185</c:v>
                </c:pt>
                <c:pt idx="87">
                  <c:v>99.83420898714418</c:v>
                </c:pt>
                <c:pt idx="88">
                  <c:v>100</c:v>
                </c:pt>
                <c:pt idx="89">
                  <c:v>95.29174829947614</c:v>
                </c:pt>
                <c:pt idx="90">
                  <c:v>95.494922375443565</c:v>
                </c:pt>
                <c:pt idx="91">
                  <c:v>98.125902182219576</c:v>
                </c:pt>
                <c:pt idx="92" formatCode="0.000">
                  <c:v>100</c:v>
                </c:pt>
                <c:pt idx="93" formatCode="0.000">
                  <c:v>100</c:v>
                </c:pt>
                <c:pt idx="94" formatCode="0.000">
                  <c:v>100</c:v>
                </c:pt>
                <c:pt idx="95">
                  <c:v>94.785072927859403</c:v>
                </c:pt>
                <c:pt idx="96">
                  <c:v>94.907272969854887</c:v>
                </c:pt>
                <c:pt idx="97">
                  <c:v>95.446867253895178</c:v>
                </c:pt>
                <c:pt idx="98">
                  <c:v>99.914662945470155</c:v>
                </c:pt>
                <c:pt idx="99">
                  <c:v>99.807387626811135</c:v>
                </c:pt>
                <c:pt idx="100">
                  <c:v>100</c:v>
                </c:pt>
                <c:pt idx="101">
                  <c:v>99.010127982807958</c:v>
                </c:pt>
                <c:pt idx="102">
                  <c:v>99.033723914391331</c:v>
                </c:pt>
                <c:pt idx="103">
                  <c:v>98.22824451133144</c:v>
                </c:pt>
              </c:numCache>
            </c:numRef>
          </c:xVal>
          <c:yVal>
            <c:numRef>
              <c:f>data_Sabbagh!$M$4:$M$107</c:f>
              <c:numCache>
                <c:formatCode>General</c:formatCode>
                <c:ptCount val="104"/>
                <c:pt idx="0">
                  <c:v>58.222346084610891</c:v>
                </c:pt>
                <c:pt idx="1">
                  <c:v>61.899556141382973</c:v>
                </c:pt>
                <c:pt idx="2">
                  <c:v>65.630618590693629</c:v>
                </c:pt>
                <c:pt idx="3">
                  <c:v>64.63175403270499</c:v>
                </c:pt>
                <c:pt idx="4">
                  <c:v>68.546433675851759</c:v>
                </c:pt>
                <c:pt idx="5">
                  <c:v>57.503529392978905</c:v>
                </c:pt>
                <c:pt idx="6">
                  <c:v>61.180739449750988</c:v>
                </c:pt>
                <c:pt idx="7">
                  <c:v>64.911801899061615</c:v>
                </c:pt>
                <c:pt idx="8">
                  <c:v>63.912937341072976</c:v>
                </c:pt>
                <c:pt idx="9">
                  <c:v>67.827616984219773</c:v>
                </c:pt>
                <c:pt idx="10">
                  <c:v>35.797582048238993</c:v>
                </c:pt>
                <c:pt idx="11">
                  <c:v>44.034664115108313</c:v>
                </c:pt>
                <c:pt idx="12">
                  <c:v>43.810276487716934</c:v>
                </c:pt>
                <c:pt idx="13">
                  <c:v>44.031803396352714</c:v>
                </c:pt>
                <c:pt idx="14">
                  <c:v>53.768438475916454</c:v>
                </c:pt>
                <c:pt idx="15">
                  <c:v>35.078777331293665</c:v>
                </c:pt>
                <c:pt idx="16">
                  <c:v>43.315859398162985</c:v>
                </c:pt>
                <c:pt idx="17">
                  <c:v>43.091471770771605</c:v>
                </c:pt>
                <c:pt idx="18">
                  <c:v>43.312998679407386</c:v>
                </c:pt>
                <c:pt idx="19">
                  <c:v>53.049633758971126</c:v>
                </c:pt>
                <c:pt idx="20">
                  <c:v>26.629557273917168</c:v>
                </c:pt>
                <c:pt idx="21">
                  <c:v>19.13967563185005</c:v>
                </c:pt>
                <c:pt idx="22">
                  <c:v>46.703293395130544</c:v>
                </c:pt>
                <c:pt idx="23">
                  <c:v>40.520697118493999</c:v>
                </c:pt>
                <c:pt idx="24">
                  <c:v>100.88282208365398</c:v>
                </c:pt>
                <c:pt idx="25">
                  <c:v>102.36796718333103</c:v>
                </c:pt>
                <c:pt idx="26">
                  <c:v>56.438046145282996</c:v>
                </c:pt>
                <c:pt idx="27">
                  <c:v>52.362189589213557</c:v>
                </c:pt>
                <c:pt idx="28">
                  <c:v>98.597980940556894</c:v>
                </c:pt>
                <c:pt idx="29">
                  <c:v>79.952635239612107</c:v>
                </c:pt>
                <c:pt idx="30">
                  <c:v>73.663138450568042</c:v>
                </c:pt>
                <c:pt idx="31">
                  <c:v>24.85201150191865</c:v>
                </c:pt>
                <c:pt idx="32">
                  <c:v>17.363238359950156</c:v>
                </c:pt>
                <c:pt idx="33">
                  <c:v>44.922432671928135</c:v>
                </c:pt>
                <c:pt idx="34">
                  <c:v>38.741389364032869</c:v>
                </c:pt>
                <c:pt idx="35">
                  <c:v>99.132567270135681</c:v>
                </c:pt>
                <c:pt idx="36">
                  <c:v>100.61804082349386</c:v>
                </c:pt>
                <c:pt idx="37">
                  <c:v>54.663694541133651</c:v>
                </c:pt>
                <c:pt idx="38">
                  <c:v>50.589341497645222</c:v>
                </c:pt>
                <c:pt idx="39">
                  <c:v>96.821668201235781</c:v>
                </c:pt>
                <c:pt idx="40">
                  <c:v>78.168249731883151</c:v>
                </c:pt>
                <c:pt idx="41">
                  <c:v>71.881677161544971</c:v>
                </c:pt>
                <c:pt idx="42">
                  <c:v>27.555865195666495</c:v>
                </c:pt>
                <c:pt idx="43">
                  <c:v>20.064990374001223</c:v>
                </c:pt>
                <c:pt idx="44">
                  <c:v>47.632576558251344</c:v>
                </c:pt>
                <c:pt idx="45">
                  <c:v>41.448585495256197</c:v>
                </c:pt>
                <c:pt idx="46">
                  <c:v>101.78492644257035</c:v>
                </c:pt>
                <c:pt idx="47">
                  <c:v>103.26978336598367</c:v>
                </c:pt>
                <c:pt idx="48">
                  <c:v>57.361494533608578</c:v>
                </c:pt>
                <c:pt idx="49">
                  <c:v>53.284294452269734</c:v>
                </c:pt>
                <c:pt idx="50">
                  <c:v>99.523184159496196</c:v>
                </c:pt>
                <c:pt idx="51">
                  <c:v>80.885090474245686</c:v>
                </c:pt>
                <c:pt idx="52">
                  <c:v>74.592961462837039</c:v>
                </c:pt>
                <c:pt idx="53">
                  <c:v>57.821179449564987</c:v>
                </c:pt>
                <c:pt idx="54">
                  <c:v>65.483098037207924</c:v>
                </c:pt>
                <c:pt idx="55">
                  <c:v>56.489843081794639</c:v>
                </c:pt>
                <c:pt idx="56">
                  <c:v>69.391096000106643</c:v>
                </c:pt>
                <c:pt idx="57">
                  <c:v>47.84359360863035</c:v>
                </c:pt>
                <c:pt idx="58">
                  <c:v>34.528916346910016</c:v>
                </c:pt>
                <c:pt idx="59">
                  <c:v>56.051818795211936</c:v>
                </c:pt>
                <c:pt idx="60">
                  <c:v>63.701896732290841</c:v>
                </c:pt>
                <c:pt idx="61">
                  <c:v>54.71454132184531</c:v>
                </c:pt>
                <c:pt idx="62">
                  <c:v>67.648191600223669</c:v>
                </c:pt>
                <c:pt idx="63">
                  <c:v>46.067871351383779</c:v>
                </c:pt>
                <c:pt idx="64">
                  <c:v>32.744933292860971</c:v>
                </c:pt>
                <c:pt idx="65">
                  <c:v>42.262508709865003</c:v>
                </c:pt>
                <c:pt idx="66">
                  <c:v>54.962508709865013</c:v>
                </c:pt>
                <c:pt idx="67">
                  <c:v>76.562508709865014</c:v>
                </c:pt>
                <c:pt idx="68">
                  <c:v>47.637624088093396</c:v>
                </c:pt>
                <c:pt idx="69">
                  <c:v>60.337624088093399</c:v>
                </c:pt>
                <c:pt idx="70">
                  <c:v>81.937624088093415</c:v>
                </c:pt>
                <c:pt idx="71">
                  <c:v>71.826266329185884</c:v>
                </c:pt>
                <c:pt idx="72">
                  <c:v>78.898266329185887</c:v>
                </c:pt>
                <c:pt idx="73">
                  <c:v>80.932266329185907</c:v>
                </c:pt>
                <c:pt idx="74">
                  <c:v>77.201350078961184</c:v>
                </c:pt>
                <c:pt idx="75">
                  <c:v>84.273350078961187</c:v>
                </c:pt>
                <c:pt idx="76">
                  <c:v>86.307350078961207</c:v>
                </c:pt>
                <c:pt idx="77">
                  <c:v>73.457771176899826</c:v>
                </c:pt>
                <c:pt idx="78">
                  <c:v>79.817771176899839</c:v>
                </c:pt>
                <c:pt idx="79">
                  <c:v>76.017771176899828</c:v>
                </c:pt>
                <c:pt idx="80">
                  <c:v>82.24380123514041</c:v>
                </c:pt>
                <c:pt idx="81">
                  <c:v>88.603801235140423</c:v>
                </c:pt>
                <c:pt idx="82">
                  <c:v>84.803801235140412</c:v>
                </c:pt>
                <c:pt idx="83">
                  <c:v>84.60115044672645</c:v>
                </c:pt>
                <c:pt idx="84">
                  <c:v>87.278041210504654</c:v>
                </c:pt>
                <c:pt idx="85">
                  <c:v>93.659879932358621</c:v>
                </c:pt>
                <c:pt idx="86">
                  <c:v>92.925444337924503</c:v>
                </c:pt>
                <c:pt idx="87">
                  <c:v>95.570851384897693</c:v>
                </c:pt>
                <c:pt idx="88">
                  <c:v>101.41155559142975</c:v>
                </c:pt>
                <c:pt idx="89">
                  <c:v>94.378983424209267</c:v>
                </c:pt>
                <c:pt idx="90">
                  <c:v>97.07141161706744</c:v>
                </c:pt>
                <c:pt idx="91">
                  <c:v>103.7760386932398</c:v>
                </c:pt>
                <c:pt idx="92">
                  <c:v>89.245897737032308</c:v>
                </c:pt>
                <c:pt idx="93">
                  <c:v>91.992209320800882</c:v>
                </c:pt>
                <c:pt idx="94">
                  <c:v>100.38393899064025</c:v>
                </c:pt>
                <c:pt idx="95">
                  <c:v>93.703944911865321</c:v>
                </c:pt>
                <c:pt idx="96">
                  <c:v>96.392431579431303</c:v>
                </c:pt>
                <c:pt idx="97">
                  <c:v>103.01080723602523</c:v>
                </c:pt>
                <c:pt idx="98">
                  <c:v>98.475562211432333</c:v>
                </c:pt>
                <c:pt idx="99">
                  <c:v>101.15245297521054</c:v>
                </c:pt>
                <c:pt idx="100">
                  <c:v>107.5342916970645</c:v>
                </c:pt>
                <c:pt idx="101">
                  <c:v>97.2479464021783</c:v>
                </c:pt>
                <c:pt idx="102">
                  <c:v>99.936433069744282</c:v>
                </c:pt>
                <c:pt idx="103">
                  <c:v>106.55480872633822</c:v>
                </c:pt>
              </c:numCache>
            </c:numRef>
          </c:yVal>
        </c:ser>
        <c:axId val="96953856"/>
        <c:axId val="167320192"/>
      </c:scatterChart>
      <c:valAx>
        <c:axId val="96953856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fr-FR"/>
          </a:p>
        </c:txPr>
        <c:crossAx val="167320192"/>
        <c:crosses val="autoZero"/>
        <c:crossBetween val="midCat"/>
      </c:valAx>
      <c:valAx>
        <c:axId val="167320192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300"/>
                  <a:t>deltaP predicted with Sabbagh eq.</a:t>
                </a:r>
                <a:r>
                  <a:rPr lang="en-US" sz="1300" baseline="0"/>
                  <a:t> </a:t>
                </a:r>
                <a:r>
                  <a:rPr lang="en-US" sz="1300"/>
                  <a:t>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fr-FR"/>
          </a:p>
        </c:txPr>
        <c:crossAx val="96953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127829267481116"/>
          <c:y val="0.66474466899579998"/>
          <c:w val="0.31831315124663101"/>
          <c:h val="0.22300811636006571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deltaP_dissolved_Sabbagh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VFS_datapoints!$FT$3</c:f>
              <c:strCache>
                <c:ptCount val="1"/>
                <c:pt idx="0">
                  <c:v>deltaP_diss_Sabbagh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192662784114591"/>
                  <c:y val="-0.11837910515532854"/>
                </c:manualLayout>
              </c:layout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VFS_datapoints!$FT$68:$FT$114</c:f>
              <c:numCache>
                <c:formatCode>General</c:formatCode>
                <c:ptCount val="47"/>
                <c:pt idx="0">
                  <c:v>85.042324189443036</c:v>
                </c:pt>
                <c:pt idx="1">
                  <c:v>93.548835258902457</c:v>
                </c:pt>
                <c:pt idx="2">
                  <c:v>64.553617818412832</c:v>
                </c:pt>
                <c:pt idx="3">
                  <c:v>69.468418342041716</c:v>
                </c:pt>
                <c:pt idx="4">
                  <c:v>70.841854914255592</c:v>
                </c:pt>
                <c:pt idx="5">
                  <c:v>78.560705441285691</c:v>
                </c:pt>
                <c:pt idx="6">
                  <c:v>81.491954794987691</c:v>
                </c:pt>
                <c:pt idx="7">
                  <c:v>83.074186635217799</c:v>
                </c:pt>
                <c:pt idx="8">
                  <c:v>81.924917967272734</c:v>
                </c:pt>
                <c:pt idx="9">
                  <c:v>69.183344085399881</c:v>
                </c:pt>
                <c:pt idx="10">
                  <c:v>70.723846297505943</c:v>
                </c:pt>
                <c:pt idx="11">
                  <c:v>69.614771997427468</c:v>
                </c:pt>
                <c:pt idx="12">
                  <c:v>18.147418474013691</c:v>
                </c:pt>
                <c:pt idx="13">
                  <c:v>0</c:v>
                </c:pt>
                <c:pt idx="14">
                  <c:v>7.2986363709932434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95.846722888768554</c:v>
                </c:pt>
                <c:pt idx="19">
                  <c:v>45.104245427378906</c:v>
                </c:pt>
                <c:pt idx="20">
                  <c:v>70.496605103198775</c:v>
                </c:pt>
                <c:pt idx="21">
                  <c:v>91.554949090767948</c:v>
                </c:pt>
                <c:pt idx="22">
                  <c:v>0</c:v>
                </c:pt>
                <c:pt idx="23">
                  <c:v>86.459102073479684</c:v>
                </c:pt>
                <c:pt idx="24">
                  <c:v>83.771812406967157</c:v>
                </c:pt>
                <c:pt idx="25">
                  <c:v>85.305887897851946</c:v>
                </c:pt>
                <c:pt idx="26">
                  <c:v>92.706140132547688</c:v>
                </c:pt>
                <c:pt idx="27">
                  <c:v>91.009154201091917</c:v>
                </c:pt>
                <c:pt idx="28">
                  <c:v>0</c:v>
                </c:pt>
                <c:pt idx="29">
                  <c:v>74.931102657996988</c:v>
                </c:pt>
                <c:pt idx="30">
                  <c:v>21.807248702585998</c:v>
                </c:pt>
                <c:pt idx="31">
                  <c:v>34.392331454779374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184.50598761545695</c:v>
                </c:pt>
                <c:pt idx="36">
                  <c:v>0</c:v>
                </c:pt>
                <c:pt idx="37">
                  <c:v>0</c:v>
                </c:pt>
                <c:pt idx="38">
                  <c:v>192.39472171606195</c:v>
                </c:pt>
                <c:pt idx="39">
                  <c:v>0</c:v>
                </c:pt>
                <c:pt idx="40">
                  <c:v>93.564101817745581</c:v>
                </c:pt>
                <c:pt idx="41">
                  <c:v>87.835043937337971</c:v>
                </c:pt>
                <c:pt idx="42">
                  <c:v>93.86218117876264</c:v>
                </c:pt>
                <c:pt idx="43">
                  <c:v>109.60702613011202</c:v>
                </c:pt>
                <c:pt idx="44">
                  <c:v>104.75730419177442</c:v>
                </c:pt>
                <c:pt idx="45">
                  <c:v>0</c:v>
                </c:pt>
                <c:pt idx="46">
                  <c:v>81.738506972163449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9505280"/>
        <c:axId val="99506816"/>
      </c:scatterChart>
      <c:valAx>
        <c:axId val="99505280"/>
        <c:scaling>
          <c:orientation val="minMax"/>
        </c:scaling>
        <c:axPos val="b"/>
        <c:numFmt formatCode="0.00" sourceLinked="1"/>
        <c:tickLblPos val="nextTo"/>
        <c:crossAx val="99506816"/>
        <c:crosses val="autoZero"/>
        <c:crossBetween val="midCat"/>
      </c:valAx>
      <c:valAx>
        <c:axId val="99506816"/>
        <c:scaling>
          <c:orientation val="minMax"/>
          <c:max val="120"/>
          <c:min val="-20"/>
        </c:scaling>
        <c:axPos val="l"/>
        <c:majorGridlines/>
        <c:numFmt formatCode="General" sourceLinked="1"/>
        <c:tickLblPos val="nextTo"/>
        <c:crossAx val="9950528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deltaP_dissolved_dilution_eq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VFS_datapoints!$FU$3</c:f>
              <c:strCache>
                <c:ptCount val="1"/>
                <c:pt idx="0">
                  <c:v>deltaP_diss_dilut_eq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573113143180069"/>
                  <c:y val="-0.60551962854048924"/>
                </c:manualLayout>
              </c:layout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VFS_datapoints!$FU$68:$FU$114</c:f>
              <c:numCache>
                <c:formatCode>General</c:formatCode>
                <c:ptCount val="47"/>
                <c:pt idx="0">
                  <c:v>81.259818754931786</c:v>
                </c:pt>
                <c:pt idx="1">
                  <c:v>80.756149374262634</c:v>
                </c:pt>
                <c:pt idx="2">
                  <c:v>62.140008712193648</c:v>
                </c:pt>
                <c:pt idx="3">
                  <c:v>56.504079248544578</c:v>
                </c:pt>
                <c:pt idx="4">
                  <c:v>60.19011968426706</c:v>
                </c:pt>
                <c:pt idx="5">
                  <c:v>59.623347539877599</c:v>
                </c:pt>
                <c:pt idx="6">
                  <c:v>74.851986504665064</c:v>
                </c:pt>
                <c:pt idx="7">
                  <c:v>74.912641018380384</c:v>
                </c:pt>
                <c:pt idx="8">
                  <c:v>72.812497266249295</c:v>
                </c:pt>
                <c:pt idx="9">
                  <c:v>64.246560563758322</c:v>
                </c:pt>
                <c:pt idx="10">
                  <c:v>64.306338788930546</c:v>
                </c:pt>
                <c:pt idx="11">
                  <c:v>62.674611548585759</c:v>
                </c:pt>
                <c:pt idx="12">
                  <c:v>19.126070568676472</c:v>
                </c:pt>
                <c:pt idx="13">
                  <c:v>0</c:v>
                </c:pt>
                <c:pt idx="14">
                  <c:v>16.239769413350814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99.669620870471832</c:v>
                </c:pt>
                <c:pt idx="19">
                  <c:v>34.843759461618987</c:v>
                </c:pt>
                <c:pt idx="20">
                  <c:v>64.688986346880256</c:v>
                </c:pt>
                <c:pt idx="21">
                  <c:v>87.924571741917873</c:v>
                </c:pt>
                <c:pt idx="22">
                  <c:v>0</c:v>
                </c:pt>
                <c:pt idx="23">
                  <c:v>87.357336183690592</c:v>
                </c:pt>
                <c:pt idx="24">
                  <c:v>86.91575671802569</c:v>
                </c:pt>
                <c:pt idx="25">
                  <c:v>94.743070694487713</c:v>
                </c:pt>
                <c:pt idx="26">
                  <c:v>99.76785167445415</c:v>
                </c:pt>
                <c:pt idx="27">
                  <c:v>99.857471835571772</c:v>
                </c:pt>
                <c:pt idx="28">
                  <c:v>0</c:v>
                </c:pt>
                <c:pt idx="29">
                  <c:v>77.676121826746964</c:v>
                </c:pt>
                <c:pt idx="30">
                  <c:v>49.014776026061043</c:v>
                </c:pt>
                <c:pt idx="31">
                  <c:v>5.3459550746529674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97.77593806210993</c:v>
                </c:pt>
                <c:pt idx="36">
                  <c:v>0</c:v>
                </c:pt>
                <c:pt idx="37">
                  <c:v>0</c:v>
                </c:pt>
                <c:pt idx="38">
                  <c:v>63.227396442201858</c:v>
                </c:pt>
                <c:pt idx="39">
                  <c:v>0</c:v>
                </c:pt>
                <c:pt idx="40">
                  <c:v>62.741218975174803</c:v>
                </c:pt>
                <c:pt idx="41">
                  <c:v>37.996749003525487</c:v>
                </c:pt>
                <c:pt idx="42">
                  <c:v>79.236434483425668</c:v>
                </c:pt>
                <c:pt idx="43">
                  <c:v>98.681541412405593</c:v>
                </c:pt>
                <c:pt idx="44">
                  <c:v>98.890955491162359</c:v>
                </c:pt>
                <c:pt idx="45">
                  <c:v>0</c:v>
                </c:pt>
                <c:pt idx="46">
                  <c:v>47.747125394165202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9545856"/>
        <c:axId val="99547392"/>
      </c:scatterChart>
      <c:valAx>
        <c:axId val="99545856"/>
        <c:scaling>
          <c:orientation val="minMax"/>
        </c:scaling>
        <c:axPos val="b"/>
        <c:numFmt formatCode="0.00" sourceLinked="1"/>
        <c:tickLblPos val="nextTo"/>
        <c:crossAx val="99547392"/>
        <c:crosses val="autoZero"/>
        <c:crossBetween val="midCat"/>
      </c:valAx>
      <c:valAx>
        <c:axId val="99547392"/>
        <c:scaling>
          <c:orientation val="minMax"/>
          <c:max val="120"/>
          <c:min val="-20"/>
        </c:scaling>
        <c:axPos val="l"/>
        <c:majorGridlines/>
        <c:numFmt formatCode="General" sourceLinked="1"/>
        <c:tickLblPos val="nextTo"/>
        <c:crossAx val="99545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deltaP_dissolved_Chen_et_al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VFS_datapoints!$FV$3</c:f>
              <c:strCache>
                <c:ptCount val="1"/>
                <c:pt idx="0">
                  <c:v>deltaP_diss_Chen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VFS_datapoints!$FV$68:$FV$114</c:f>
              <c:numCache>
                <c:formatCode>General</c:formatCode>
                <c:ptCount val="47"/>
                <c:pt idx="0">
                  <c:v>83.750626252419664</c:v>
                </c:pt>
                <c:pt idx="1">
                  <c:v>82.712535563925073</c:v>
                </c:pt>
                <c:pt idx="2">
                  <c:v>79.816111064640779</c:v>
                </c:pt>
                <c:pt idx="3">
                  <c:v>76.748397042607735</c:v>
                </c:pt>
                <c:pt idx="4">
                  <c:v>75.162075147191089</c:v>
                </c:pt>
                <c:pt idx="5">
                  <c:v>73.668132764800262</c:v>
                </c:pt>
                <c:pt idx="6">
                  <c:v>74.192218401417804</c:v>
                </c:pt>
                <c:pt idx="7">
                  <c:v>74.672755295418057</c:v>
                </c:pt>
                <c:pt idx="8">
                  <c:v>58.034314167366119</c:v>
                </c:pt>
                <c:pt idx="9">
                  <c:v>72.219799708006221</c:v>
                </c:pt>
                <c:pt idx="10">
                  <c:v>72.517504151164005</c:v>
                </c:pt>
                <c:pt idx="11">
                  <c:v>64.391260053538772</c:v>
                </c:pt>
                <c:pt idx="12">
                  <c:v>71.825991604766145</c:v>
                </c:pt>
                <c:pt idx="13">
                  <c:v>0</c:v>
                </c:pt>
                <c:pt idx="14">
                  <c:v>67.107163057622955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81.2206228574167</c:v>
                </c:pt>
                <c:pt idx="19">
                  <c:v>75.176924815270979</c:v>
                </c:pt>
                <c:pt idx="20">
                  <c:v>60.381690971169974</c:v>
                </c:pt>
                <c:pt idx="21">
                  <c:v>66.830316240572913</c:v>
                </c:pt>
                <c:pt idx="22">
                  <c:v>0</c:v>
                </c:pt>
                <c:pt idx="23">
                  <c:v>80.476840427196507</c:v>
                </c:pt>
                <c:pt idx="24">
                  <c:v>76.934495801758843</c:v>
                </c:pt>
                <c:pt idx="25">
                  <c:v>84.128413579653682</c:v>
                </c:pt>
                <c:pt idx="26">
                  <c:v>81.964256619545068</c:v>
                </c:pt>
                <c:pt idx="27">
                  <c:v>82.169036057093976</c:v>
                </c:pt>
                <c:pt idx="28">
                  <c:v>0</c:v>
                </c:pt>
                <c:pt idx="29">
                  <c:v>43.238891141843503</c:v>
                </c:pt>
                <c:pt idx="30">
                  <c:v>104.83920955701713</c:v>
                </c:pt>
                <c:pt idx="31">
                  <c:v>93.726924185198143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101.88142365050913</c:v>
                </c:pt>
                <c:pt idx="36">
                  <c:v>0</c:v>
                </c:pt>
                <c:pt idx="37">
                  <c:v>0</c:v>
                </c:pt>
                <c:pt idx="38">
                  <c:v>29.656927480929539</c:v>
                </c:pt>
                <c:pt idx="39">
                  <c:v>0</c:v>
                </c:pt>
                <c:pt idx="40">
                  <c:v>99.840880240486584</c:v>
                </c:pt>
                <c:pt idx="41">
                  <c:v>99.161486714464047</c:v>
                </c:pt>
                <c:pt idx="42">
                  <c:v>100.4943017989111</c:v>
                </c:pt>
                <c:pt idx="43">
                  <c:v>100.44934509817192</c:v>
                </c:pt>
                <c:pt idx="44">
                  <c:v>100.41839461184496</c:v>
                </c:pt>
                <c:pt idx="45">
                  <c:v>0</c:v>
                </c:pt>
                <c:pt idx="46">
                  <c:v>86.134046758128235</c:v>
                </c:pt>
              </c:numCache>
            </c:numRef>
          </c:yVal>
        </c:ser>
        <c:ser>
          <c:idx val="1"/>
          <c:order val="1"/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9778944"/>
        <c:axId val="99780480"/>
      </c:scatterChart>
      <c:valAx>
        <c:axId val="99778944"/>
        <c:scaling>
          <c:orientation val="minMax"/>
        </c:scaling>
        <c:axPos val="b"/>
        <c:numFmt formatCode="0.00" sourceLinked="1"/>
        <c:tickLblPos val="nextTo"/>
        <c:crossAx val="99780480"/>
        <c:crosses val="autoZero"/>
        <c:crossBetween val="midCat"/>
      </c:valAx>
      <c:valAx>
        <c:axId val="99780480"/>
        <c:scaling>
          <c:orientation val="minMax"/>
          <c:max val="120"/>
          <c:min val="-20"/>
        </c:scaling>
        <c:axPos val="l"/>
        <c:majorGridlines/>
        <c:numFmt formatCode="General" sourceLinked="1"/>
        <c:tickLblPos val="nextTo"/>
        <c:crossAx val="99778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deltaP_particle_bound_Sabbagh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VFS_datapoints!$FY$3</c:f>
              <c:strCache>
                <c:ptCount val="1"/>
                <c:pt idx="0">
                  <c:v>deltaP_part_Sabbagh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6858431121177327E-2"/>
                  <c:y val="-3.6580233416968012E-2"/>
                </c:manualLayout>
              </c:layout>
              <c:numFmt formatCode="General" sourceLinked="0"/>
            </c:trendlineLbl>
          </c:trendline>
          <c:xVal>
            <c:numRef>
              <c:f>VFS_datapoints!$FX$68:$FX$114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xVal>
          <c:yVal>
            <c:numRef>
              <c:f>VFS_datapoints!$FY$68:$FY$114</c:f>
              <c:numCache>
                <c:formatCode>0.000</c:formatCode>
                <c:ptCount val="47"/>
                <c:pt idx="0">
                  <c:v>95.027203525416923</c:v>
                </c:pt>
                <c:pt idx="1">
                  <c:v>97.855259755072225</c:v>
                </c:pt>
                <c:pt idx="2">
                  <c:v>84.119844215566857</c:v>
                </c:pt>
                <c:pt idx="3">
                  <c:v>86.321699331973718</c:v>
                </c:pt>
                <c:pt idx="4">
                  <c:v>91.384750414044916</c:v>
                </c:pt>
                <c:pt idx="5">
                  <c:v>93.665410710215724</c:v>
                </c:pt>
                <c:pt idx="6">
                  <c:v>95.192556087349246</c:v>
                </c:pt>
                <c:pt idx="7">
                  <c:v>95.603539027171365</c:v>
                </c:pt>
                <c:pt idx="8">
                  <c:v>95.305017784084242</c:v>
                </c:pt>
                <c:pt idx="9">
                  <c:v>82.578248628899274</c:v>
                </c:pt>
                <c:pt idx="10">
                  <c:v>83.449149306776761</c:v>
                </c:pt>
                <c:pt idx="11">
                  <c:v>82.822150168337132</c:v>
                </c:pt>
                <c:pt idx="12">
                  <c:v>19.61962397598451</c:v>
                </c:pt>
                <c:pt idx="13">
                  <c:v>95.226150488436701</c:v>
                </c:pt>
                <c:pt idx="14">
                  <c:v>29.306025506533473</c:v>
                </c:pt>
                <c:pt idx="15">
                  <c:v>86.954588627068105</c:v>
                </c:pt>
                <c:pt idx="16">
                  <c:v>95.863131196719308</c:v>
                </c:pt>
                <c:pt idx="17">
                  <c:v>0</c:v>
                </c:pt>
                <c:pt idx="18">
                  <c:v>99.583339104609252</c:v>
                </c:pt>
                <c:pt idx="19">
                  <c:v>34.493263278802843</c:v>
                </c:pt>
                <c:pt idx="20">
                  <c:v>91.183325781821125</c:v>
                </c:pt>
                <c:pt idx="21">
                  <c:v>99.090309770050183</c:v>
                </c:pt>
                <c:pt idx="22">
                  <c:v>0</c:v>
                </c:pt>
                <c:pt idx="23">
                  <c:v>92.888923280541974</c:v>
                </c:pt>
                <c:pt idx="24">
                  <c:v>96.206118886451847</c:v>
                </c:pt>
                <c:pt idx="25">
                  <c:v>92.333506729314081</c:v>
                </c:pt>
                <c:pt idx="26">
                  <c:v>98.625794517726376</c:v>
                </c:pt>
                <c:pt idx="27">
                  <c:v>97.853505370214108</c:v>
                </c:pt>
                <c:pt idx="28">
                  <c:v>64.579377184755387</c:v>
                </c:pt>
                <c:pt idx="29">
                  <c:v>98.503073007043227</c:v>
                </c:pt>
                <c:pt idx="30">
                  <c:v>95.839405969816653</c:v>
                </c:pt>
                <c:pt idx="31">
                  <c:v>26.007617003605709</c:v>
                </c:pt>
                <c:pt idx="32">
                  <c:v>66.514417364658144</c:v>
                </c:pt>
                <c:pt idx="33">
                  <c:v>85.312777979594372</c:v>
                </c:pt>
                <c:pt idx="34">
                  <c:v>0</c:v>
                </c:pt>
                <c:pt idx="35">
                  <c:v>102.39803469088903</c:v>
                </c:pt>
                <c:pt idx="36">
                  <c:v>47.007546646413147</c:v>
                </c:pt>
                <c:pt idx="37">
                  <c:v>87.28730531897024</c:v>
                </c:pt>
                <c:pt idx="38">
                  <c:v>101.19703994263818</c:v>
                </c:pt>
                <c:pt idx="39">
                  <c:v>0</c:v>
                </c:pt>
                <c:pt idx="40">
                  <c:v>96.929787146368014</c:v>
                </c:pt>
                <c:pt idx="41">
                  <c:v>97.416576155131935</c:v>
                </c:pt>
                <c:pt idx="42">
                  <c:v>96.303662370945545</c:v>
                </c:pt>
                <c:pt idx="43">
                  <c:v>102.08923547911061</c:v>
                </c:pt>
                <c:pt idx="44">
                  <c:v>101.31097478281552</c:v>
                </c:pt>
                <c:pt idx="45">
                  <c:v>45.002436673073717</c:v>
                </c:pt>
                <c:pt idx="46">
                  <c:v>98.175641322291639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9819520"/>
        <c:axId val="99821056"/>
      </c:scatterChart>
      <c:valAx>
        <c:axId val="99819520"/>
        <c:scaling>
          <c:orientation val="minMax"/>
        </c:scaling>
        <c:axPos val="b"/>
        <c:numFmt formatCode="0.000" sourceLinked="1"/>
        <c:tickLblPos val="nextTo"/>
        <c:crossAx val="99821056"/>
        <c:crosses val="autoZero"/>
        <c:crossBetween val="midCat"/>
      </c:valAx>
      <c:valAx>
        <c:axId val="99821056"/>
        <c:scaling>
          <c:orientation val="minMax"/>
          <c:max val="120"/>
          <c:min val="-20"/>
        </c:scaling>
        <c:axPos val="l"/>
        <c:majorGridlines/>
        <c:numFmt formatCode="0.000" sourceLinked="1"/>
        <c:tickLblPos val="nextTo"/>
        <c:crossAx val="99819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deltaP_particle_bound_dilution_eq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VFS_datapoints!$FZ$3</c:f>
              <c:strCache>
                <c:ptCount val="1"/>
                <c:pt idx="0">
                  <c:v>deltaP_part_dilut_eq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207919463771621"/>
                  <c:y val="-1.4204632534989232E-2"/>
                </c:manualLayout>
              </c:layout>
              <c:numFmt formatCode="General" sourceLinked="0"/>
            </c:trendlineLbl>
          </c:trendline>
          <c:xVal>
            <c:numRef>
              <c:f>VFS_datapoints!$FX$68:$FX$114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xVal>
          <c:yVal>
            <c:numRef>
              <c:f>VFS_datapoints!$FZ$68:$FZ$114</c:f>
              <c:numCache>
                <c:formatCode>0.000</c:formatCode>
                <c:ptCount val="47"/>
                <c:pt idx="0">
                  <c:v>93.769679968411296</c:v>
                </c:pt>
                <c:pt idx="1">
                  <c:v>93.602231137973391</c:v>
                </c:pt>
                <c:pt idx="2">
                  <c:v>83.038535313204548</c:v>
                </c:pt>
                <c:pt idx="3">
                  <c:v>80.513610839549372</c:v>
                </c:pt>
                <c:pt idx="4">
                  <c:v>88.237521491903109</c:v>
                </c:pt>
                <c:pt idx="5">
                  <c:v>88.070059416797747</c:v>
                </c:pt>
                <c:pt idx="6">
                  <c:v>93.467831796700722</c:v>
                </c:pt>
                <c:pt idx="7">
                  <c:v>93.483586738376388</c:v>
                </c:pt>
                <c:pt idx="8">
                  <c:v>92.93807676230719</c:v>
                </c:pt>
                <c:pt idx="9">
                  <c:v>79.787309361337861</c:v>
                </c:pt>
                <c:pt idx="10">
                  <c:v>79.821104117629446</c:v>
                </c:pt>
                <c:pt idx="11">
                  <c:v>78.898630687497445</c:v>
                </c:pt>
                <c:pt idx="12">
                  <c:v>20.580673974642316</c:v>
                </c:pt>
                <c:pt idx="13">
                  <c:v>95.765481771960623</c:v>
                </c:pt>
                <c:pt idx="14">
                  <c:v>17.746286007172117</c:v>
                </c:pt>
                <c:pt idx="15">
                  <c:v>85.968292939387979</c:v>
                </c:pt>
                <c:pt idx="16">
                  <c:v>95.490184148101591</c:v>
                </c:pt>
                <c:pt idx="17">
                  <c:v>0</c:v>
                </c:pt>
                <c:pt idx="18">
                  <c:v>99.985845284869114</c:v>
                </c:pt>
                <c:pt idx="19">
                  <c:v>47.821142704434308</c:v>
                </c:pt>
                <c:pt idx="20">
                  <c:v>92.918352161338476</c:v>
                </c:pt>
                <c:pt idx="21">
                  <c:v>99.127058500242754</c:v>
                </c:pt>
                <c:pt idx="22">
                  <c:v>0</c:v>
                </c:pt>
                <c:pt idx="23">
                  <c:v>95.587929927727671</c:v>
                </c:pt>
                <c:pt idx="24">
                  <c:v>97.967276909478585</c:v>
                </c:pt>
                <c:pt idx="25">
                  <c:v>97.257254275384881</c:v>
                </c:pt>
                <c:pt idx="26">
                  <c:v>99.956261909679782</c:v>
                </c:pt>
                <c:pt idx="27">
                  <c:v>99.965972507327876</c:v>
                </c:pt>
                <c:pt idx="28">
                  <c:v>50.99130361420854</c:v>
                </c:pt>
                <c:pt idx="29">
                  <c:v>97.769801143674414</c:v>
                </c:pt>
                <c:pt idx="30">
                  <c:v>91.752390239509879</c:v>
                </c:pt>
                <c:pt idx="31">
                  <c:v>7.0484084747167026</c:v>
                </c:pt>
                <c:pt idx="32">
                  <c:v>78.736921239115034</c:v>
                </c:pt>
                <c:pt idx="33">
                  <c:v>90.933502395750651</c:v>
                </c:pt>
                <c:pt idx="34">
                  <c:v>0</c:v>
                </c:pt>
                <c:pt idx="35">
                  <c:v>99.904712615445078</c:v>
                </c:pt>
                <c:pt idx="36">
                  <c:v>31.448450516367828</c:v>
                </c:pt>
                <c:pt idx="37">
                  <c:v>86.295295535534251</c:v>
                </c:pt>
                <c:pt idx="38">
                  <c:v>97.341681718142098</c:v>
                </c:pt>
                <c:pt idx="39">
                  <c:v>0</c:v>
                </c:pt>
                <c:pt idx="40">
                  <c:v>86.997332597192496</c:v>
                </c:pt>
                <c:pt idx="41">
                  <c:v>90.367387912943869</c:v>
                </c:pt>
                <c:pt idx="42">
                  <c:v>89.16683538265687</c:v>
                </c:pt>
                <c:pt idx="43">
                  <c:v>99.751594758859028</c:v>
                </c:pt>
                <c:pt idx="44">
                  <c:v>99.735224234109026</c:v>
                </c:pt>
                <c:pt idx="45">
                  <c:v>31.194693669237221</c:v>
                </c:pt>
                <c:pt idx="46">
                  <c:v>94.779836178944905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9869056"/>
        <c:axId val="99870592"/>
      </c:scatterChart>
      <c:valAx>
        <c:axId val="99869056"/>
        <c:scaling>
          <c:orientation val="minMax"/>
        </c:scaling>
        <c:axPos val="b"/>
        <c:numFmt formatCode="0.000" sourceLinked="1"/>
        <c:tickLblPos val="nextTo"/>
        <c:crossAx val="99870592"/>
        <c:crosses val="autoZero"/>
        <c:crossBetween val="midCat"/>
      </c:valAx>
      <c:valAx>
        <c:axId val="99870592"/>
        <c:scaling>
          <c:orientation val="minMax"/>
        </c:scaling>
        <c:axPos val="l"/>
        <c:majorGridlines/>
        <c:numFmt formatCode="0.000" sourceLinked="1"/>
        <c:tickLblPos val="nextTo"/>
        <c:crossAx val="99869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deltaP_tot_Sabbagh_et_al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VFS_datapoints!$FM$3</c:f>
              <c:strCache>
                <c:ptCount val="1"/>
                <c:pt idx="0">
                  <c:v>new evaluation data (Fph from generic Koc)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layout/>
              <c:tx>
                <c:strRef>
                  <c:f>VFS_datapoints!$GL$68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"/>
              <c:layout/>
              <c:tx>
                <c:strRef>
                  <c:f>VFS_datapoints!$GL$69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"/>
              <c:layout/>
              <c:tx>
                <c:strRef>
                  <c:f>VFS_datapoints!$GL$70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"/>
              <c:layout/>
              <c:tx>
                <c:strRef>
                  <c:f>VFS_datapoints!$GL$71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"/>
              <c:layout/>
              <c:tx>
                <c:strRef>
                  <c:f>VFS_datapoints!$GL$72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5"/>
              <c:layout/>
              <c:tx>
                <c:strRef>
                  <c:f>VFS_datapoints!$GL$73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6"/>
              <c:layout/>
              <c:tx>
                <c:strRef>
                  <c:f>VFS_datapoints!$GL$74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7"/>
              <c:layout/>
              <c:tx>
                <c:strRef>
                  <c:f>VFS_datapoints!$GL$75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8"/>
              <c:layout/>
              <c:tx>
                <c:strRef>
                  <c:f>VFS_datapoints!$GL$76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9"/>
              <c:layout/>
              <c:tx>
                <c:strRef>
                  <c:f>VFS_datapoints!$GL$77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0"/>
              <c:layout/>
              <c:tx>
                <c:strRef>
                  <c:f>VFS_datapoints!$GL$78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1"/>
              <c:layout/>
              <c:tx>
                <c:strRef>
                  <c:f>VFS_datapoints!$GL$79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2"/>
              <c:layout/>
              <c:tx>
                <c:strRef>
                  <c:f>VFS_datapoints!$GL$80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3"/>
              <c:layout/>
              <c:tx>
                <c:strRef>
                  <c:f>VFS_datapoints!$GL$81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4"/>
              <c:layout/>
              <c:tx>
                <c:strRef>
                  <c:f>VFS_datapoints!$GL$82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5"/>
              <c:layout/>
              <c:tx>
                <c:strRef>
                  <c:f>VFS_datapoints!$GL$83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6"/>
              <c:layout/>
              <c:tx>
                <c:strRef>
                  <c:f>VFS_datapoints!$GL$84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7"/>
              <c:tx>
                <c:strRef>
                  <c:f>VFS_datapoints!$GL$85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8"/>
              <c:layout/>
              <c:tx>
                <c:strRef>
                  <c:f>VFS_datapoints!$GL$86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9"/>
              <c:layout/>
              <c:tx>
                <c:strRef>
                  <c:f>VFS_datapoints!$GL$87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0"/>
              <c:layout/>
              <c:tx>
                <c:strRef>
                  <c:f>VFS_datapoints!$GL$88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1"/>
              <c:layout/>
              <c:tx>
                <c:strRef>
                  <c:f>VFS_datapoints!$GL$89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2"/>
              <c:tx>
                <c:strRef>
                  <c:f>VFS_datapoints!$GL$90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3"/>
              <c:layout/>
              <c:tx>
                <c:strRef>
                  <c:f>VFS_datapoints!$GL$91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4"/>
              <c:layout/>
              <c:tx>
                <c:strRef>
                  <c:f>VFS_datapoints!$GL$92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5"/>
              <c:layout/>
              <c:tx>
                <c:strRef>
                  <c:f>VFS_datapoints!$GL$93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6"/>
              <c:layout/>
              <c:tx>
                <c:strRef>
                  <c:f>VFS_datapoints!$GL$94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7"/>
              <c:layout/>
              <c:tx>
                <c:strRef>
                  <c:f>VFS_datapoints!$GL$95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8"/>
              <c:layout/>
              <c:tx>
                <c:strRef>
                  <c:f>VFS_datapoints!$GL$96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9"/>
              <c:layout/>
              <c:tx>
                <c:strRef>
                  <c:f>VFS_datapoints!$GL$97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0"/>
              <c:layout/>
              <c:tx>
                <c:strRef>
                  <c:f>VFS_datapoints!$GL$98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1"/>
              <c:layout/>
              <c:tx>
                <c:strRef>
                  <c:f>VFS_datapoints!$GL$99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2"/>
              <c:layout/>
              <c:tx>
                <c:strRef>
                  <c:f>VFS_datapoints!$GL$100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3"/>
              <c:layout/>
              <c:tx>
                <c:strRef>
                  <c:f>VFS_datapoints!$GL$101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4"/>
              <c:tx>
                <c:strRef>
                  <c:f>VFS_datapoints!$GL$102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5"/>
              <c:tx>
                <c:strRef>
                  <c:f>VFS_datapoints!$GL$103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6"/>
              <c:layout/>
              <c:tx>
                <c:strRef>
                  <c:f>VFS_datapoints!#REF!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7"/>
              <c:layout/>
              <c:tx>
                <c:strRef>
                  <c:f>VFS_datapoints!$GL$104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8"/>
              <c:layout/>
              <c:tx>
                <c:strRef>
                  <c:f>VFS_datapoints!$GL$105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9"/>
              <c:tx>
                <c:strRef>
                  <c:f>VFS_datapoints!$GL$106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0"/>
              <c:layout/>
              <c:tx>
                <c:strRef>
                  <c:f>VFS_datapoints!$GL$107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1"/>
              <c:layout/>
              <c:tx>
                <c:strRef>
                  <c:f>VFS_datapoints!$GL$108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2"/>
              <c:layout/>
              <c:tx>
                <c:strRef>
                  <c:f>VFS_datapoints!$GL$109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3"/>
              <c:layout/>
              <c:tx>
                <c:strRef>
                  <c:f>VFS_datapoints!$GL$110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4"/>
              <c:layout/>
              <c:tx>
                <c:strRef>
                  <c:f>VFS_datapoints!$GL$111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5"/>
              <c:layout/>
              <c:tx>
                <c:strRef>
                  <c:f>VFS_datapoints!$GL$112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6"/>
              <c:layout/>
              <c:tx>
                <c:strRef>
                  <c:f>VFS_datapoints!$GL$113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7"/>
              <c:tx>
                <c:strRef>
                  <c:f>VFS_datapoints!$GL$114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showVal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-0.24570393518552419"/>
                  <c:y val="-0.14234244970572787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VFS_datapoints!$FM$68:$FM$114</c:f>
              <c:numCache>
                <c:formatCode>General</c:formatCode>
                <c:ptCount val="47"/>
                <c:pt idx="0">
                  <c:v>85.097651873661761</c:v>
                </c:pt>
                <c:pt idx="1">
                  <c:v>93.958649275401598</c:v>
                </c:pt>
                <c:pt idx="2">
                  <c:v>65.155625626943205</c:v>
                </c:pt>
                <c:pt idx="3">
                  <c:v>73.946743936042012</c:v>
                </c:pt>
                <c:pt idx="4">
                  <c:v>71.122583467390427</c:v>
                </c:pt>
                <c:pt idx="5">
                  <c:v>79.971769179882102</c:v>
                </c:pt>
                <c:pt idx="6">
                  <c:v>82.68020208635491</c:v>
                </c:pt>
                <c:pt idx="7">
                  <c:v>83.86033392919191</c:v>
                </c:pt>
                <c:pt idx="8">
                  <c:v>89.597950992513034</c:v>
                </c:pt>
                <c:pt idx="9">
                  <c:v>70.345046830101182</c:v>
                </c:pt>
                <c:pt idx="10">
                  <c:v>71.522297190226951</c:v>
                </c:pt>
                <c:pt idx="11">
                  <c:v>77.188544349158846</c:v>
                </c:pt>
                <c:pt idx="12">
                  <c:v>18.958358767130299</c:v>
                </c:pt>
                <c:pt idx="13">
                  <c:v>73.336448825416028</c:v>
                </c:pt>
                <c:pt idx="14">
                  <c:v>21.384301631025522</c:v>
                </c:pt>
                <c:pt idx="15">
                  <c:v>57.776780313852854</c:v>
                </c:pt>
                <c:pt idx="16">
                  <c:v>75.859399554396774</c:v>
                </c:pt>
                <c:pt idx="18">
                  <c:v>96.501722392380032</c:v>
                </c:pt>
                <c:pt idx="19">
                  <c:v>40.305902396597922</c:v>
                </c:pt>
                <c:pt idx="20">
                  <c:v>79.851251130126727</c:v>
                </c:pt>
                <c:pt idx="21">
                  <c:v>94.962479599591504</c:v>
                </c:pt>
                <c:pt idx="23">
                  <c:v>88.801284402024422</c:v>
                </c:pt>
                <c:pt idx="24">
                  <c:v>88.301240514854541</c:v>
                </c:pt>
                <c:pt idx="25">
                  <c:v>86.422814484096179</c:v>
                </c:pt>
                <c:pt idx="26">
                  <c:v>93.646973652798195</c:v>
                </c:pt>
                <c:pt idx="27">
                  <c:v>92.096953350379849</c:v>
                </c:pt>
                <c:pt idx="28">
                  <c:v>37.498462387436781</c:v>
                </c:pt>
                <c:pt idx="29">
                  <c:v>90.801462236340427</c:v>
                </c:pt>
                <c:pt idx="30">
                  <c:v>92.308727765550543</c:v>
                </c:pt>
                <c:pt idx="31">
                  <c:v>26.224311907592757</c:v>
                </c:pt>
                <c:pt idx="32">
                  <c:v>63.158633398687854</c:v>
                </c:pt>
                <c:pt idx="33">
                  <c:v>81.987812540135764</c:v>
                </c:pt>
                <c:pt idx="35">
                  <c:v>105.74150654059737</c:v>
                </c:pt>
                <c:pt idx="36">
                  <c:v>45.544678812289604</c:v>
                </c:pt>
                <c:pt idx="37">
                  <c:v>85.709948920658164</c:v>
                </c:pt>
                <c:pt idx="38">
                  <c:v>101.61890728153485</c:v>
                </c:pt>
                <c:pt idx="40">
                  <c:v>96.767783049100103</c:v>
                </c:pt>
                <c:pt idx="41">
                  <c:v>96.955378114962642</c:v>
                </c:pt>
                <c:pt idx="42">
                  <c:v>95.905540466284378</c:v>
                </c:pt>
                <c:pt idx="43">
                  <c:v>103.31512947428187</c:v>
                </c:pt>
                <c:pt idx="44">
                  <c:v>101.87295299209993</c:v>
                </c:pt>
                <c:pt idx="45">
                  <c:v>43.619129717461931</c:v>
                </c:pt>
                <c:pt idx="46">
                  <c:v>97.760707367661311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56599424"/>
        <c:axId val="156600960"/>
      </c:scatterChart>
      <c:valAx>
        <c:axId val="156599424"/>
        <c:scaling>
          <c:orientation val="minMax"/>
        </c:scaling>
        <c:axPos val="b"/>
        <c:numFmt formatCode="0.00" sourceLinked="1"/>
        <c:tickLblPos val="nextTo"/>
        <c:crossAx val="156600960"/>
        <c:crosses val="autoZero"/>
        <c:crossBetween val="midCat"/>
      </c:valAx>
      <c:valAx>
        <c:axId val="156600960"/>
        <c:scaling>
          <c:orientation val="minMax"/>
          <c:max val="105"/>
          <c:min val="0"/>
        </c:scaling>
        <c:axPos val="l"/>
        <c:majorGridlines/>
        <c:numFmt formatCode="General" sourceLinked="1"/>
        <c:tickLblPos val="nextTo"/>
        <c:crossAx val="156599424"/>
        <c:crosses val="autoZero"/>
        <c:crossBetween val="midCat"/>
        <c:majorUnit val="20"/>
      </c:valAx>
    </c:plotArea>
    <c:legend>
      <c:legendPos val="r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deltaE</a:t>
            </a:r>
            <a:r>
              <a:rPr lang="de-DE" baseline="0"/>
              <a:t> vs. deltaP for records with usable deltaP_tot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VFS_datapoints!$GD$68:$GD$114</c:f>
              <c:numCache>
                <c:formatCode>General</c:formatCode>
                <c:ptCount val="47"/>
                <c:pt idx="0">
                  <c:v>88.535936821024109</c:v>
                </c:pt>
                <c:pt idx="1">
                  <c:v>88.535936821024109</c:v>
                </c:pt>
                <c:pt idx="2">
                  <c:v>63.199590826377531</c:v>
                </c:pt>
                <c:pt idx="3">
                  <c:v>63.199590826377531</c:v>
                </c:pt>
                <c:pt idx="4">
                  <c:v>81.689411666199746</c:v>
                </c:pt>
                <c:pt idx="5">
                  <c:v>81.689411666199746</c:v>
                </c:pt>
                <c:pt idx="6">
                  <c:v>91.265587294391835</c:v>
                </c:pt>
                <c:pt idx="7">
                  <c:v>91.265587294391835</c:v>
                </c:pt>
                <c:pt idx="8">
                  <c:v>91.265587294391835</c:v>
                </c:pt>
                <c:pt idx="9">
                  <c:v>77.57295203472593</c:v>
                </c:pt>
                <c:pt idx="10">
                  <c:v>77.57295203472593</c:v>
                </c:pt>
                <c:pt idx="11">
                  <c:v>77.57295203472593</c:v>
                </c:pt>
                <c:pt idx="12">
                  <c:v>6.2154603722585868</c:v>
                </c:pt>
                <c:pt idx="13">
                  <c:v>89.285857653245543</c:v>
                </c:pt>
                <c:pt idx="14">
                  <c:v>6.2154603722585868</c:v>
                </c:pt>
                <c:pt idx="15">
                  <c:v>77.251013608446058</c:v>
                </c:pt>
                <c:pt idx="16">
                  <c:v>89.285857653245543</c:v>
                </c:pt>
                <c:pt idx="18">
                  <c:v>99.822857142857146</c:v>
                </c:pt>
                <c:pt idx="19">
                  <c:v>31.290016599478299</c:v>
                </c:pt>
                <c:pt idx="20">
                  <c:v>86.115722077306131</c:v>
                </c:pt>
                <c:pt idx="21">
                  <c:v>97.21958738439649</c:v>
                </c:pt>
                <c:pt idx="23">
                  <c:v>85.459057071960302</c:v>
                </c:pt>
                <c:pt idx="24">
                  <c:v>87.593052109181144</c:v>
                </c:pt>
                <c:pt idx="25">
                  <c:v>85.720823798626995</c:v>
                </c:pt>
                <c:pt idx="26">
                  <c:v>99.524027459954226</c:v>
                </c:pt>
                <c:pt idx="27">
                  <c:v>99.530892448512589</c:v>
                </c:pt>
                <c:pt idx="28">
                  <c:v>28.997474256848648</c:v>
                </c:pt>
                <c:pt idx="29">
                  <c:v>93.792500485719842</c:v>
                </c:pt>
                <c:pt idx="30">
                  <c:v>89.215686274509792</c:v>
                </c:pt>
                <c:pt idx="31">
                  <c:v>6.2154603722585868</c:v>
                </c:pt>
                <c:pt idx="32">
                  <c:v>77.251013608446058</c:v>
                </c:pt>
                <c:pt idx="33">
                  <c:v>89.285857653245543</c:v>
                </c:pt>
                <c:pt idx="35">
                  <c:v>99.822857142857146</c:v>
                </c:pt>
                <c:pt idx="36">
                  <c:v>31.290016599478299</c:v>
                </c:pt>
                <c:pt idx="37">
                  <c:v>86.115722077306131</c:v>
                </c:pt>
                <c:pt idx="38">
                  <c:v>97.21958738439649</c:v>
                </c:pt>
                <c:pt idx="40">
                  <c:v>85.459057071960302</c:v>
                </c:pt>
                <c:pt idx="41">
                  <c:v>87.593052109181144</c:v>
                </c:pt>
                <c:pt idx="42">
                  <c:v>85.720823798626995</c:v>
                </c:pt>
                <c:pt idx="43">
                  <c:v>99.524027459954226</c:v>
                </c:pt>
                <c:pt idx="44">
                  <c:v>99.530892448512589</c:v>
                </c:pt>
                <c:pt idx="45">
                  <c:v>28.997474256848648</c:v>
                </c:pt>
                <c:pt idx="46">
                  <c:v>93.792500485719842</c:v>
                </c:pt>
              </c:numCache>
            </c:numRef>
          </c:xVal>
          <c:yVal>
            <c:numRef>
              <c:f>VFS_datapoints!$GE$68:$GE$114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7">
                  <c:v>0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2">
                  <c:v>0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4">
                  <c:v>0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39">
                  <c:v>0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yVal>
        </c:ser>
        <c:axId val="99919360"/>
        <c:axId val="99921280"/>
      </c:scatterChart>
      <c:valAx>
        <c:axId val="99919360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</c:title>
        <c:numFmt formatCode="General" sourceLinked="1"/>
        <c:tickLblPos val="nextTo"/>
        <c:crossAx val="99921280"/>
        <c:crossesAt val="0"/>
        <c:crossBetween val="midCat"/>
        <c:majorUnit val="10"/>
      </c:valAx>
      <c:valAx>
        <c:axId val="99921280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</c:title>
        <c:numFmt formatCode="0.00" sourceLinked="1"/>
        <c:tickLblPos val="nextTo"/>
        <c:crossAx val="99919360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deltaE</a:t>
            </a:r>
            <a:r>
              <a:rPr lang="de-DE" baseline="0"/>
              <a:t> vs. deltaP_part for records with usable deltaP_part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VFS_datapoints!$GI$68:$GI$114</c:f>
              <c:numCache>
                <c:formatCode>General</c:formatCode>
                <c:ptCount val="47"/>
                <c:pt idx="0">
                  <c:v>88.535936821024109</c:v>
                </c:pt>
                <c:pt idx="1">
                  <c:v>88.535936821024109</c:v>
                </c:pt>
                <c:pt idx="2">
                  <c:v>63.199590826377531</c:v>
                </c:pt>
                <c:pt idx="3">
                  <c:v>63.199590826377531</c:v>
                </c:pt>
                <c:pt idx="4">
                  <c:v>81.689411666199746</c:v>
                </c:pt>
                <c:pt idx="5">
                  <c:v>81.689411666199746</c:v>
                </c:pt>
                <c:pt idx="6">
                  <c:v>91.265587294391835</c:v>
                </c:pt>
                <c:pt idx="7">
                  <c:v>91.265587294391835</c:v>
                </c:pt>
                <c:pt idx="8">
                  <c:v>91.265587294391835</c:v>
                </c:pt>
                <c:pt idx="9">
                  <c:v>77.57295203472593</c:v>
                </c:pt>
                <c:pt idx="10">
                  <c:v>77.57295203472593</c:v>
                </c:pt>
                <c:pt idx="11">
                  <c:v>77.57295203472593</c:v>
                </c:pt>
                <c:pt idx="12">
                  <c:v>6.2154603722585868</c:v>
                </c:pt>
                <c:pt idx="13">
                  <c:v>89.285857653245543</c:v>
                </c:pt>
                <c:pt idx="14">
                  <c:v>6.2154603722585868</c:v>
                </c:pt>
                <c:pt idx="15">
                  <c:v>77.251013608446058</c:v>
                </c:pt>
                <c:pt idx="16">
                  <c:v>89.285857653245543</c:v>
                </c:pt>
                <c:pt idx="17">
                  <c:v>0</c:v>
                </c:pt>
                <c:pt idx="18">
                  <c:v>99.822857142857146</c:v>
                </c:pt>
                <c:pt idx="19">
                  <c:v>31.290016599478299</c:v>
                </c:pt>
                <c:pt idx="20">
                  <c:v>86.115722077306131</c:v>
                </c:pt>
                <c:pt idx="21">
                  <c:v>97.21958738439649</c:v>
                </c:pt>
                <c:pt idx="22">
                  <c:v>0</c:v>
                </c:pt>
                <c:pt idx="23">
                  <c:v>85.459057071960302</c:v>
                </c:pt>
                <c:pt idx="24">
                  <c:v>87.593052109181144</c:v>
                </c:pt>
                <c:pt idx="25">
                  <c:v>85.720823798626995</c:v>
                </c:pt>
                <c:pt idx="26">
                  <c:v>99.524027459954226</c:v>
                </c:pt>
                <c:pt idx="27">
                  <c:v>99.530892448512589</c:v>
                </c:pt>
                <c:pt idx="28">
                  <c:v>28.997474256848648</c:v>
                </c:pt>
                <c:pt idx="29">
                  <c:v>93.792500485719842</c:v>
                </c:pt>
                <c:pt idx="30">
                  <c:v>89.215686274509792</c:v>
                </c:pt>
                <c:pt idx="31">
                  <c:v>6.2154603722585868</c:v>
                </c:pt>
                <c:pt idx="32">
                  <c:v>77.251013608446058</c:v>
                </c:pt>
                <c:pt idx="33">
                  <c:v>89.285857653245543</c:v>
                </c:pt>
                <c:pt idx="34">
                  <c:v>0</c:v>
                </c:pt>
                <c:pt idx="35">
                  <c:v>99.822857142857146</c:v>
                </c:pt>
                <c:pt idx="36">
                  <c:v>31.290016599478299</c:v>
                </c:pt>
                <c:pt idx="37">
                  <c:v>86.115722077306131</c:v>
                </c:pt>
                <c:pt idx="38">
                  <c:v>97.21958738439649</c:v>
                </c:pt>
                <c:pt idx="39">
                  <c:v>0</c:v>
                </c:pt>
                <c:pt idx="40">
                  <c:v>85.459057071960302</c:v>
                </c:pt>
                <c:pt idx="41">
                  <c:v>87.593052109181144</c:v>
                </c:pt>
                <c:pt idx="42">
                  <c:v>85.720823798626995</c:v>
                </c:pt>
                <c:pt idx="43">
                  <c:v>99.524027459954226</c:v>
                </c:pt>
                <c:pt idx="44">
                  <c:v>99.530892448512589</c:v>
                </c:pt>
                <c:pt idx="45">
                  <c:v>28.997474256848648</c:v>
                </c:pt>
                <c:pt idx="46">
                  <c:v>93.792500485719842</c:v>
                </c:pt>
              </c:numCache>
            </c:numRef>
          </c:xVal>
          <c:yVal>
            <c:numRef>
              <c:f>VFS_datapoints!$GK$68:$GK$114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yVal>
        </c:ser>
        <c:axId val="168263680"/>
        <c:axId val="168265600"/>
      </c:scatterChart>
      <c:valAx>
        <c:axId val="168263680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</c:title>
        <c:numFmt formatCode="General" sourceLinked="1"/>
        <c:tickLblPos val="nextTo"/>
        <c:crossAx val="168265600"/>
        <c:crossesAt val="0"/>
        <c:crossBetween val="midCat"/>
        <c:majorUnit val="10"/>
      </c:valAx>
      <c:valAx>
        <c:axId val="168265600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deltaP_part measured (%)</a:t>
                </a:r>
              </a:p>
            </c:rich>
          </c:tx>
        </c:title>
        <c:numFmt formatCode="0.000" sourceLinked="1"/>
        <c:tickLblPos val="nextTo"/>
        <c:crossAx val="168263680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Ei</a:t>
            </a:r>
            <a:r>
              <a:rPr lang="de-DE" baseline="0"/>
              <a:t> vs. deltaP_part for records with usable deltaP_part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VFS_datapoints!$GJ$68:$GJ$114</c:f>
              <c:numCache>
                <c:formatCode>General</c:formatCode>
                <c:ptCount val="47"/>
                <c:pt idx="0">
                  <c:v>0.87257870773254564</c:v>
                </c:pt>
                <c:pt idx="1">
                  <c:v>0.87257870773254564</c:v>
                </c:pt>
                <c:pt idx="2">
                  <c:v>3.8398030575071989</c:v>
                </c:pt>
                <c:pt idx="3">
                  <c:v>3.8398030575071989</c:v>
                </c:pt>
                <c:pt idx="4">
                  <c:v>2.6559678329387859</c:v>
                </c:pt>
                <c:pt idx="5">
                  <c:v>2.6559678329387859</c:v>
                </c:pt>
                <c:pt idx="6">
                  <c:v>6.4943920000000004</c:v>
                </c:pt>
                <c:pt idx="7">
                  <c:v>6.4943920000000004</c:v>
                </c:pt>
                <c:pt idx="8">
                  <c:v>6.4943920000000004</c:v>
                </c:pt>
                <c:pt idx="9">
                  <c:v>19.500586999999999</c:v>
                </c:pt>
                <c:pt idx="10">
                  <c:v>19.500586999999999</c:v>
                </c:pt>
                <c:pt idx="11">
                  <c:v>19.500586999999999</c:v>
                </c:pt>
                <c:pt idx="12">
                  <c:v>74.733000000000004</c:v>
                </c:pt>
                <c:pt idx="13">
                  <c:v>74.733000000000004</c:v>
                </c:pt>
                <c:pt idx="14">
                  <c:v>74.733000000000004</c:v>
                </c:pt>
                <c:pt idx="15">
                  <c:v>74.733000000000004</c:v>
                </c:pt>
                <c:pt idx="16">
                  <c:v>74.733000000000004</c:v>
                </c:pt>
                <c:pt idx="17">
                  <c:v>0</c:v>
                </c:pt>
                <c:pt idx="18">
                  <c:v>2.1</c:v>
                </c:pt>
                <c:pt idx="19">
                  <c:v>16.867999999999999</c:v>
                </c:pt>
                <c:pt idx="20">
                  <c:v>16.867999999999999</c:v>
                </c:pt>
                <c:pt idx="21">
                  <c:v>16.867999999999999</c:v>
                </c:pt>
                <c:pt idx="22">
                  <c:v>0</c:v>
                </c:pt>
                <c:pt idx="23">
                  <c:v>6.0449999999999999</c:v>
                </c:pt>
                <c:pt idx="24">
                  <c:v>6.0449999999999999</c:v>
                </c:pt>
                <c:pt idx="25">
                  <c:v>0.437</c:v>
                </c:pt>
                <c:pt idx="26">
                  <c:v>0.437</c:v>
                </c:pt>
                <c:pt idx="27">
                  <c:v>0.437</c:v>
                </c:pt>
                <c:pt idx="28">
                  <c:v>20.588000000000001</c:v>
                </c:pt>
                <c:pt idx="29">
                  <c:v>20.588000000000001</c:v>
                </c:pt>
                <c:pt idx="30">
                  <c:v>1.0199999999999999E-2</c:v>
                </c:pt>
                <c:pt idx="31">
                  <c:v>74.733000000000004</c:v>
                </c:pt>
                <c:pt idx="32">
                  <c:v>74.733000000000004</c:v>
                </c:pt>
                <c:pt idx="33">
                  <c:v>74.733000000000004</c:v>
                </c:pt>
                <c:pt idx="34">
                  <c:v>0</c:v>
                </c:pt>
                <c:pt idx="35">
                  <c:v>2.1</c:v>
                </c:pt>
                <c:pt idx="36">
                  <c:v>16.867999999999999</c:v>
                </c:pt>
                <c:pt idx="37">
                  <c:v>16.867999999999999</c:v>
                </c:pt>
                <c:pt idx="38">
                  <c:v>16.867999999999999</c:v>
                </c:pt>
                <c:pt idx="39">
                  <c:v>0</c:v>
                </c:pt>
                <c:pt idx="40">
                  <c:v>6.0449999999999999</c:v>
                </c:pt>
                <c:pt idx="41">
                  <c:v>6.0449999999999999</c:v>
                </c:pt>
                <c:pt idx="42">
                  <c:v>0.437</c:v>
                </c:pt>
                <c:pt idx="43">
                  <c:v>0.437</c:v>
                </c:pt>
                <c:pt idx="44">
                  <c:v>0.437</c:v>
                </c:pt>
                <c:pt idx="45">
                  <c:v>20.588000000000001</c:v>
                </c:pt>
                <c:pt idx="46">
                  <c:v>20.588000000000001</c:v>
                </c:pt>
              </c:numCache>
            </c:numRef>
          </c:xVal>
          <c:yVal>
            <c:numRef>
              <c:f>VFS_datapoints!$GK$68:$GK$114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yVal>
        </c:ser>
        <c:axId val="168274176"/>
        <c:axId val="168288640"/>
      </c:scatterChart>
      <c:valAx>
        <c:axId val="168274176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</c:title>
        <c:numFmt formatCode="General" sourceLinked="1"/>
        <c:tickLblPos val="nextTo"/>
        <c:crossAx val="168288640"/>
        <c:crossesAt val="0"/>
        <c:crossBetween val="midCat"/>
      </c:valAx>
      <c:valAx>
        <c:axId val="168288640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deltaP_part measured (%)</a:t>
                </a:r>
              </a:p>
            </c:rich>
          </c:tx>
        </c:title>
        <c:numFmt formatCode="0.000" sourceLinked="1"/>
        <c:tickLblPos val="nextTo"/>
        <c:crossAx val="168274176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Ei</a:t>
            </a:r>
            <a:r>
              <a:rPr lang="de-DE" baseline="0"/>
              <a:t> vs. deltaE for records with usable deltaP_part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VFS_datapoints!$GJ$68:$GJ$114</c:f>
              <c:numCache>
                <c:formatCode>General</c:formatCode>
                <c:ptCount val="47"/>
                <c:pt idx="0">
                  <c:v>0.87257870773254564</c:v>
                </c:pt>
                <c:pt idx="1">
                  <c:v>0.87257870773254564</c:v>
                </c:pt>
                <c:pt idx="2">
                  <c:v>3.8398030575071989</c:v>
                </c:pt>
                <c:pt idx="3">
                  <c:v>3.8398030575071989</c:v>
                </c:pt>
                <c:pt idx="4">
                  <c:v>2.6559678329387859</c:v>
                </c:pt>
                <c:pt idx="5">
                  <c:v>2.6559678329387859</c:v>
                </c:pt>
                <c:pt idx="6">
                  <c:v>6.4943920000000004</c:v>
                </c:pt>
                <c:pt idx="7">
                  <c:v>6.4943920000000004</c:v>
                </c:pt>
                <c:pt idx="8">
                  <c:v>6.4943920000000004</c:v>
                </c:pt>
                <c:pt idx="9">
                  <c:v>19.500586999999999</c:v>
                </c:pt>
                <c:pt idx="10">
                  <c:v>19.500586999999999</c:v>
                </c:pt>
                <c:pt idx="11">
                  <c:v>19.500586999999999</c:v>
                </c:pt>
                <c:pt idx="12">
                  <c:v>74.733000000000004</c:v>
                </c:pt>
                <c:pt idx="13">
                  <c:v>74.733000000000004</c:v>
                </c:pt>
                <c:pt idx="14">
                  <c:v>74.733000000000004</c:v>
                </c:pt>
                <c:pt idx="15">
                  <c:v>74.733000000000004</c:v>
                </c:pt>
                <c:pt idx="16">
                  <c:v>74.733000000000004</c:v>
                </c:pt>
                <c:pt idx="17">
                  <c:v>0</c:v>
                </c:pt>
                <c:pt idx="18">
                  <c:v>2.1</c:v>
                </c:pt>
                <c:pt idx="19">
                  <c:v>16.867999999999999</c:v>
                </c:pt>
                <c:pt idx="20">
                  <c:v>16.867999999999999</c:v>
                </c:pt>
                <c:pt idx="21">
                  <c:v>16.867999999999999</c:v>
                </c:pt>
                <c:pt idx="22">
                  <c:v>0</c:v>
                </c:pt>
                <c:pt idx="23">
                  <c:v>6.0449999999999999</c:v>
                </c:pt>
                <c:pt idx="24">
                  <c:v>6.0449999999999999</c:v>
                </c:pt>
                <c:pt idx="25">
                  <c:v>0.437</c:v>
                </c:pt>
                <c:pt idx="26">
                  <c:v>0.437</c:v>
                </c:pt>
                <c:pt idx="27">
                  <c:v>0.437</c:v>
                </c:pt>
                <c:pt idx="28">
                  <c:v>20.588000000000001</c:v>
                </c:pt>
                <c:pt idx="29">
                  <c:v>20.588000000000001</c:v>
                </c:pt>
                <c:pt idx="30">
                  <c:v>1.0199999999999999E-2</c:v>
                </c:pt>
                <c:pt idx="31">
                  <c:v>74.733000000000004</c:v>
                </c:pt>
                <c:pt idx="32">
                  <c:v>74.733000000000004</c:v>
                </c:pt>
                <c:pt idx="33">
                  <c:v>74.733000000000004</c:v>
                </c:pt>
                <c:pt idx="34">
                  <c:v>0</c:v>
                </c:pt>
                <c:pt idx="35">
                  <c:v>2.1</c:v>
                </c:pt>
                <c:pt idx="36">
                  <c:v>16.867999999999999</c:v>
                </c:pt>
                <c:pt idx="37">
                  <c:v>16.867999999999999</c:v>
                </c:pt>
                <c:pt idx="38">
                  <c:v>16.867999999999999</c:v>
                </c:pt>
                <c:pt idx="39">
                  <c:v>0</c:v>
                </c:pt>
                <c:pt idx="40">
                  <c:v>6.0449999999999999</c:v>
                </c:pt>
                <c:pt idx="41">
                  <c:v>6.0449999999999999</c:v>
                </c:pt>
                <c:pt idx="42">
                  <c:v>0.437</c:v>
                </c:pt>
                <c:pt idx="43">
                  <c:v>0.437</c:v>
                </c:pt>
                <c:pt idx="44">
                  <c:v>0.437</c:v>
                </c:pt>
                <c:pt idx="45">
                  <c:v>20.588000000000001</c:v>
                </c:pt>
                <c:pt idx="46">
                  <c:v>20.588000000000001</c:v>
                </c:pt>
              </c:numCache>
            </c:numRef>
          </c:xVal>
          <c:yVal>
            <c:numRef>
              <c:f>VFS_datapoints!$GI$68:$GI$114</c:f>
              <c:numCache>
                <c:formatCode>General</c:formatCode>
                <c:ptCount val="47"/>
                <c:pt idx="0">
                  <c:v>88.535936821024109</c:v>
                </c:pt>
                <c:pt idx="1">
                  <c:v>88.535936821024109</c:v>
                </c:pt>
                <c:pt idx="2">
                  <c:v>63.199590826377531</c:v>
                </c:pt>
                <c:pt idx="3">
                  <c:v>63.199590826377531</c:v>
                </c:pt>
                <c:pt idx="4">
                  <c:v>81.689411666199746</c:v>
                </c:pt>
                <c:pt idx="5">
                  <c:v>81.689411666199746</c:v>
                </c:pt>
                <c:pt idx="6">
                  <c:v>91.265587294391835</c:v>
                </c:pt>
                <c:pt idx="7">
                  <c:v>91.265587294391835</c:v>
                </c:pt>
                <c:pt idx="8">
                  <c:v>91.265587294391835</c:v>
                </c:pt>
                <c:pt idx="9">
                  <c:v>77.57295203472593</c:v>
                </c:pt>
                <c:pt idx="10">
                  <c:v>77.57295203472593</c:v>
                </c:pt>
                <c:pt idx="11">
                  <c:v>77.57295203472593</c:v>
                </c:pt>
                <c:pt idx="12">
                  <c:v>6.2154603722585868</c:v>
                </c:pt>
                <c:pt idx="13">
                  <c:v>89.285857653245543</c:v>
                </c:pt>
                <c:pt idx="14">
                  <c:v>6.2154603722585868</c:v>
                </c:pt>
                <c:pt idx="15">
                  <c:v>77.251013608446058</c:v>
                </c:pt>
                <c:pt idx="16">
                  <c:v>89.285857653245543</c:v>
                </c:pt>
                <c:pt idx="17">
                  <c:v>0</c:v>
                </c:pt>
                <c:pt idx="18">
                  <c:v>99.822857142857146</c:v>
                </c:pt>
                <c:pt idx="19">
                  <c:v>31.290016599478299</c:v>
                </c:pt>
                <c:pt idx="20">
                  <c:v>86.115722077306131</c:v>
                </c:pt>
                <c:pt idx="21">
                  <c:v>97.21958738439649</c:v>
                </c:pt>
                <c:pt idx="22">
                  <c:v>0</c:v>
                </c:pt>
                <c:pt idx="23">
                  <c:v>85.459057071960302</c:v>
                </c:pt>
                <c:pt idx="24">
                  <c:v>87.593052109181144</c:v>
                </c:pt>
                <c:pt idx="25">
                  <c:v>85.720823798626995</c:v>
                </c:pt>
                <c:pt idx="26">
                  <c:v>99.524027459954226</c:v>
                </c:pt>
                <c:pt idx="27">
                  <c:v>99.530892448512589</c:v>
                </c:pt>
                <c:pt idx="28">
                  <c:v>28.997474256848648</c:v>
                </c:pt>
                <c:pt idx="29">
                  <c:v>93.792500485719842</c:v>
                </c:pt>
                <c:pt idx="30">
                  <c:v>89.215686274509792</c:v>
                </c:pt>
                <c:pt idx="31">
                  <c:v>6.2154603722585868</c:v>
                </c:pt>
                <c:pt idx="32">
                  <c:v>77.251013608446058</c:v>
                </c:pt>
                <c:pt idx="33">
                  <c:v>89.285857653245543</c:v>
                </c:pt>
                <c:pt idx="34">
                  <c:v>0</c:v>
                </c:pt>
                <c:pt idx="35">
                  <c:v>99.822857142857146</c:v>
                </c:pt>
                <c:pt idx="36">
                  <c:v>31.290016599478299</c:v>
                </c:pt>
                <c:pt idx="37">
                  <c:v>86.115722077306131</c:v>
                </c:pt>
                <c:pt idx="38">
                  <c:v>97.21958738439649</c:v>
                </c:pt>
                <c:pt idx="39">
                  <c:v>0</c:v>
                </c:pt>
                <c:pt idx="40">
                  <c:v>85.459057071960302</c:v>
                </c:pt>
                <c:pt idx="41">
                  <c:v>87.593052109181144</c:v>
                </c:pt>
                <c:pt idx="42">
                  <c:v>85.720823798626995</c:v>
                </c:pt>
                <c:pt idx="43">
                  <c:v>99.524027459954226</c:v>
                </c:pt>
                <c:pt idx="44">
                  <c:v>99.530892448512589</c:v>
                </c:pt>
                <c:pt idx="45">
                  <c:v>28.997474256848648</c:v>
                </c:pt>
                <c:pt idx="46">
                  <c:v>93.792500485719842</c:v>
                </c:pt>
              </c:numCache>
            </c:numRef>
          </c:yVal>
        </c:ser>
        <c:axId val="168301312"/>
        <c:axId val="168303232"/>
      </c:scatterChart>
      <c:valAx>
        <c:axId val="16830131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</c:title>
        <c:numFmt formatCode="General" sourceLinked="1"/>
        <c:tickLblPos val="nextTo"/>
        <c:crossAx val="168303232"/>
        <c:crossesAt val="0"/>
        <c:crossBetween val="midCat"/>
      </c:valAx>
      <c:valAx>
        <c:axId val="168303232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</c:title>
        <c:numFmt formatCode="General" sourceLinked="1"/>
        <c:tickLblPos val="nextTo"/>
        <c:crossAx val="168301312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deltaP_tot_dilution_eq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02904684361738E-2"/>
          <c:y val="0.12679020196772356"/>
          <c:w val="0.86947709643329774"/>
          <c:h val="0.78037809438042161"/>
        </c:manualLayout>
      </c:layout>
      <c:scatterChart>
        <c:scatterStyle val="lineMarker"/>
        <c:ser>
          <c:idx val="0"/>
          <c:order val="0"/>
          <c:tx>
            <c:strRef>
              <c:f>VFS_datapoints!$FN$3</c:f>
              <c:strCache>
                <c:ptCount val="1"/>
                <c:pt idx="0">
                  <c:v>deltaP_tot_dilut_eq</c:v>
                </c:pt>
              </c:strCache>
            </c:strRef>
          </c:tx>
          <c:spPr>
            <a:ln w="28575">
              <a:noFill/>
            </a:ln>
          </c:spPr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36684704833496273"/>
                  <c:y val="5.8402362478771327E-2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VFS_datapoints!$FN$68:$FN$114</c:f>
              <c:numCache>
                <c:formatCode>General</c:formatCode>
                <c:ptCount val="47"/>
                <c:pt idx="0">
                  <c:v>81.329137734916429</c:v>
                </c:pt>
                <c:pt idx="1">
                  <c:v>81.978626250043192</c:v>
                </c:pt>
                <c:pt idx="2">
                  <c:v>62.783008335382007</c:v>
                </c:pt>
                <c:pt idx="3">
                  <c:v>62.883994227010106</c:v>
                </c:pt>
                <c:pt idx="4">
                  <c:v>60.573400927591791</c:v>
                </c:pt>
                <c:pt idx="5">
                  <c:v>62.280805788625372</c:v>
                </c:pt>
                <c:pt idx="6">
                  <c:v>76.466530806242943</c:v>
                </c:pt>
                <c:pt idx="7">
                  <c:v>76.077864748035466</c:v>
                </c:pt>
                <c:pt idx="8">
                  <c:v>84.353833895989823</c:v>
                </c:pt>
                <c:pt idx="9">
                  <c:v>65.594366400987937</c:v>
                </c:pt>
                <c:pt idx="10">
                  <c:v>65.279814879679151</c:v>
                </c:pt>
                <c:pt idx="11">
                  <c:v>71.978276969395537</c:v>
                </c:pt>
                <c:pt idx="12">
                  <c:v>19.927315035446391</c:v>
                </c:pt>
                <c:pt idx="13">
                  <c:v>76.348794992479213</c:v>
                </c:pt>
                <c:pt idx="14">
                  <c:v>17.204004121909762</c:v>
                </c:pt>
                <c:pt idx="15">
                  <c:v>62.72521619158691</c:v>
                </c:pt>
                <c:pt idx="16">
                  <c:v>78.918224496990973</c:v>
                </c:pt>
                <c:pt idx="18">
                  <c:v>99.725052529089069</c:v>
                </c:pt>
                <c:pt idx="19">
                  <c:v>40.712201757442955</c:v>
                </c:pt>
                <c:pt idx="20">
                  <c:v>77.454456952949442</c:v>
                </c:pt>
                <c:pt idx="21">
                  <c:v>92.990396329271263</c:v>
                </c:pt>
                <c:pt idx="23">
                  <c:v>90.355483503796577</c:v>
                </c:pt>
                <c:pt idx="24">
                  <c:v>90.94147912342406</c:v>
                </c:pt>
                <c:pt idx="25">
                  <c:v>95.142659595301566</c:v>
                </c:pt>
                <c:pt idx="26">
                  <c:v>99.797796440368586</c:v>
                </c:pt>
                <c:pt idx="27">
                  <c:v>99.874716266127294</c:v>
                </c:pt>
                <c:pt idx="28">
                  <c:v>35.036881708211382</c:v>
                </c:pt>
                <c:pt idx="29">
                  <c:v>91.204643680859348</c:v>
                </c:pt>
                <c:pt idx="30">
                  <c:v>89.714184565439254</c:v>
                </c:pt>
                <c:pt idx="31">
                  <c:v>7.0044101992575243</c:v>
                </c:pt>
                <c:pt idx="32">
                  <c:v>76.208097857265074</c:v>
                </c:pt>
                <c:pt idx="33">
                  <c:v>88.541487646503299</c:v>
                </c:pt>
                <c:pt idx="35">
                  <c:v>99.818027982106443</c:v>
                </c:pt>
                <c:pt idx="36">
                  <c:v>31.369582313176082</c:v>
                </c:pt>
                <c:pt idx="37">
                  <c:v>86.042581958576605</c:v>
                </c:pt>
                <c:pt idx="38">
                  <c:v>97.183873948603846</c:v>
                </c:pt>
                <c:pt idx="40">
                  <c:v>85.829787385183195</c:v>
                </c:pt>
                <c:pt idx="41">
                  <c:v>87.846576472934075</c:v>
                </c:pt>
                <c:pt idx="42">
                  <c:v>87.547527344278706</c:v>
                </c:pt>
                <c:pt idx="43">
                  <c:v>99.577105732384823</c:v>
                </c:pt>
                <c:pt idx="44">
                  <c:v>99.597552938067906</c:v>
                </c:pt>
                <c:pt idx="45">
                  <c:v>29.464092292144116</c:v>
                </c:pt>
                <c:pt idx="46">
                  <c:v>93.592556920455408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56186496"/>
        <c:axId val="168390656"/>
      </c:scatterChart>
      <c:valAx>
        <c:axId val="156186496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crossAx val="168390656"/>
        <c:crosses val="autoZero"/>
        <c:crossBetween val="midCat"/>
      </c:valAx>
      <c:valAx>
        <c:axId val="168390656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56186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606641634965502"/>
          <c:y val="0.62288474767905722"/>
          <c:w val="0.19300655230220309"/>
          <c:h val="0.1336594248306265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deltaQ</a:t>
            </a:r>
            <a:r>
              <a:rPr lang="de-DE" baseline="0"/>
              <a:t> vs. deltaP for records with usable deltaP_tot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VFS_datapoints!$GC$68:$GC$114</c:f>
              <c:numCache>
                <c:formatCode>General</c:formatCode>
                <c:ptCount val="47"/>
                <c:pt idx="0">
                  <c:v>81.28898128898129</c:v>
                </c:pt>
                <c:pt idx="1">
                  <c:v>81.28898128898129</c:v>
                </c:pt>
                <c:pt idx="2">
                  <c:v>62.769784172661872</c:v>
                </c:pt>
                <c:pt idx="3">
                  <c:v>62.769784172661872</c:v>
                </c:pt>
                <c:pt idx="4">
                  <c:v>60.280842527582749</c:v>
                </c:pt>
                <c:pt idx="5">
                  <c:v>60.280842527582749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64.5</c:v>
                </c:pt>
                <c:pt idx="10">
                  <c:v>64.5</c:v>
                </c:pt>
                <c:pt idx="11">
                  <c:v>64.5</c:v>
                </c:pt>
                <c:pt idx="12">
                  <c:v>36.742800397219469</c:v>
                </c:pt>
                <c:pt idx="13">
                  <c:v>60.483473112974842</c:v>
                </c:pt>
                <c:pt idx="14">
                  <c:v>36.742800397219469</c:v>
                </c:pt>
                <c:pt idx="15">
                  <c:v>36.896807720861176</c:v>
                </c:pt>
                <c:pt idx="16">
                  <c:v>60.483473112974842</c:v>
                </c:pt>
                <c:pt idx="18">
                  <c:v>99.704264099037147</c:v>
                </c:pt>
                <c:pt idx="19">
                  <c:v>48.490230905861459</c:v>
                </c:pt>
                <c:pt idx="20">
                  <c:v>70.304568527918789</c:v>
                </c:pt>
                <c:pt idx="21">
                  <c:v>89.499192245557353</c:v>
                </c:pt>
                <c:pt idx="23">
                  <c:v>93.161094224924014</c:v>
                </c:pt>
                <c:pt idx="24">
                  <c:v>92.860099337748352</c:v>
                </c:pt>
                <c:pt idx="25">
                  <c:v>96.92307692307692</c:v>
                </c:pt>
                <c:pt idx="26">
                  <c:v>99.849529780564268</c:v>
                </c:pt>
                <c:pt idx="27">
                  <c:v>99.93968766828219</c:v>
                </c:pt>
                <c:pt idx="28">
                  <c:v>47.482014388489205</c:v>
                </c:pt>
                <c:pt idx="29">
                  <c:v>85.871964679911699</c:v>
                </c:pt>
                <c:pt idx="30">
                  <c:v>99.668325041459354</c:v>
                </c:pt>
                <c:pt idx="31">
                  <c:v>36.742800397219469</c:v>
                </c:pt>
                <c:pt idx="32">
                  <c:v>36.896807720861176</c:v>
                </c:pt>
                <c:pt idx="33">
                  <c:v>60.483473112974842</c:v>
                </c:pt>
                <c:pt idx="35">
                  <c:v>99.704264099037147</c:v>
                </c:pt>
                <c:pt idx="36">
                  <c:v>48.490230905861459</c:v>
                </c:pt>
                <c:pt idx="37">
                  <c:v>70.304568527918789</c:v>
                </c:pt>
                <c:pt idx="38">
                  <c:v>89.499192245557353</c:v>
                </c:pt>
                <c:pt idx="40">
                  <c:v>93.161094224924014</c:v>
                </c:pt>
                <c:pt idx="41">
                  <c:v>92.860099337748352</c:v>
                </c:pt>
                <c:pt idx="42">
                  <c:v>96.92307692307692</c:v>
                </c:pt>
                <c:pt idx="43">
                  <c:v>99.849529780564268</c:v>
                </c:pt>
                <c:pt idx="44">
                  <c:v>99.93968766828219</c:v>
                </c:pt>
                <c:pt idx="45">
                  <c:v>47.482014388489205</c:v>
                </c:pt>
                <c:pt idx="46">
                  <c:v>85.871964679911699</c:v>
                </c:pt>
              </c:numCache>
            </c:numRef>
          </c:xVal>
          <c:yVal>
            <c:numRef>
              <c:f>VFS_datapoints!$GE$68:$GE$114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7">
                  <c:v>0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2">
                  <c:v>0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4">
                  <c:v>0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39">
                  <c:v>0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yVal>
        </c:ser>
        <c:axId val="168328576"/>
        <c:axId val="168338944"/>
      </c:scatterChart>
      <c:valAx>
        <c:axId val="168328576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deltaQ measured (%)</a:t>
                </a:r>
              </a:p>
            </c:rich>
          </c:tx>
        </c:title>
        <c:numFmt formatCode="General" sourceLinked="1"/>
        <c:tickLblPos val="nextTo"/>
        <c:crossAx val="168338944"/>
        <c:crossesAt val="0"/>
        <c:crossBetween val="midCat"/>
        <c:majorUnit val="10"/>
      </c:valAx>
      <c:valAx>
        <c:axId val="168338944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</c:title>
        <c:numFmt formatCode="0.00" sourceLinked="1"/>
        <c:tickLblPos val="nextTo"/>
        <c:crossAx val="168328576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</a:t>
            </a:r>
            <a:r>
              <a:rPr lang="de-DE"/>
              <a:t>deltaQ</a:t>
            </a:r>
            <a:r>
              <a:rPr lang="de-DE" baseline="0"/>
              <a:t> vs. deltaP_diss for records with usable deltaP_diss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VFS_datapoints!$GF$68:$GF$114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VFS_datapoints!$GH$68:$GH$114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171325312"/>
        <c:axId val="171327488"/>
      </c:scatterChart>
      <c:valAx>
        <c:axId val="171325312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deltaQ measured (%)</a:t>
                </a:r>
              </a:p>
            </c:rich>
          </c:tx>
        </c:title>
        <c:numFmt formatCode="General" sourceLinked="1"/>
        <c:tickLblPos val="nextTo"/>
        <c:crossAx val="171327488"/>
        <c:crossesAt val="0"/>
        <c:crossBetween val="midCat"/>
        <c:majorUnit val="10"/>
      </c:valAx>
      <c:valAx>
        <c:axId val="171327488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deltaP_diss measured (%)</a:t>
                </a:r>
              </a:p>
            </c:rich>
          </c:tx>
        </c:title>
        <c:numFmt formatCode="0.000" sourceLinked="1"/>
        <c:tickLblPos val="nextTo"/>
        <c:crossAx val="171325312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Qi vs. deltaP_diss for records with usable deltaP_diss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VFS_datapoints!$GG$68:$GG$114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VFS_datapoints!$GH$68:$GH$114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171356544"/>
        <c:axId val="171358464"/>
      </c:scatterChart>
      <c:valAx>
        <c:axId val="171356544"/>
        <c:scaling>
          <c:logBase val="10"/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Qi measured (L)</a:t>
                </a:r>
              </a:p>
            </c:rich>
          </c:tx>
        </c:title>
        <c:numFmt formatCode="General" sourceLinked="1"/>
        <c:tickLblPos val="nextTo"/>
        <c:crossAx val="171358464"/>
        <c:crossesAt val="0"/>
        <c:crossBetween val="midCat"/>
      </c:valAx>
      <c:valAx>
        <c:axId val="171358464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deltaP_diss measured (%)</a:t>
                </a:r>
              </a:p>
            </c:rich>
          </c:tx>
        </c:title>
        <c:numFmt formatCode="0.000" sourceLinked="1"/>
        <c:tickLblPos val="nextTo"/>
        <c:crossAx val="171356544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Qi vs. deltaQ for records with usable deltaP_diss measured</a:t>
            </a:r>
            <a:endParaRPr lang="de-DE"/>
          </a:p>
        </c:rich>
      </c:tx>
      <c:overlay val="1"/>
    </c:title>
    <c:plotArea>
      <c:layout>
        <c:manualLayout>
          <c:layoutTarget val="inner"/>
          <c:xMode val="edge"/>
          <c:yMode val="edge"/>
          <c:x val="7.856689127591783E-2"/>
          <c:y val="0.11112792749003782"/>
          <c:w val="0.89342564253192913"/>
          <c:h val="0.782008431069440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VFS_datapoints!$GG$68:$GG$114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VFS_datapoints!$GF$68:$GF$114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171588224"/>
        <c:axId val="171590400"/>
      </c:scatterChart>
      <c:valAx>
        <c:axId val="171588224"/>
        <c:scaling>
          <c:logBase val="10"/>
          <c:orientation val="minMax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Qi measured (L)</a:t>
                </a:r>
              </a:p>
            </c:rich>
          </c:tx>
        </c:title>
        <c:numFmt formatCode="General" sourceLinked="1"/>
        <c:tickLblPos val="nextTo"/>
        <c:crossAx val="171590400"/>
        <c:crossesAt val="0"/>
        <c:crossBetween val="midCat"/>
      </c:valAx>
      <c:valAx>
        <c:axId val="171590400"/>
        <c:scaling>
          <c:orientation val="minMax"/>
          <c:max val="10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deltaQ measured (%)</a:t>
                </a:r>
              </a:p>
            </c:rich>
          </c:tx>
        </c:title>
        <c:numFmt formatCode="General" sourceLinked="1"/>
        <c:tickLblPos val="nextTo"/>
        <c:crossAx val="171588224"/>
        <c:crossesAt val="0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deltaP_tot_dilution_eq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02904684361738E-2"/>
          <c:y val="0.12679020196772361"/>
          <c:w val="0.86947709643329796"/>
          <c:h val="0.78037809438042161"/>
        </c:manualLayout>
      </c:layout>
      <c:scatterChart>
        <c:scatterStyle val="lineMarker"/>
        <c:ser>
          <c:idx val="0"/>
          <c:order val="0"/>
          <c:tx>
            <c:strRef>
              <c:f>VFS_datapoints!$FO$3</c:f>
              <c:strCache>
                <c:ptCount val="1"/>
                <c:pt idx="0">
                  <c:v>deltaP_tot_dilut_eq (empirical Kd = Si/Ci)</c:v>
                </c:pt>
              </c:strCache>
            </c:strRef>
          </c:tx>
          <c:spPr>
            <a:ln w="28575">
              <a:noFill/>
            </a:ln>
          </c:spPr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3668470483349629"/>
                  <c:y val="5.8402362478771327E-2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VFS_datapoints!$FO$68:$FO$114</c:f>
              <c:numCache>
                <c:formatCode>General</c:formatCode>
                <c:ptCount val="47"/>
                <c:pt idx="0">
                  <c:v>81.329137734916429</c:v>
                </c:pt>
                <c:pt idx="1">
                  <c:v>81.978626250043177</c:v>
                </c:pt>
                <c:pt idx="2">
                  <c:v>62.783008335382014</c:v>
                </c:pt>
                <c:pt idx="3">
                  <c:v>62.88399422701012</c:v>
                </c:pt>
                <c:pt idx="4">
                  <c:v>60.573400927591784</c:v>
                </c:pt>
                <c:pt idx="5">
                  <c:v>62.280805788625358</c:v>
                </c:pt>
                <c:pt idx="6">
                  <c:v>76.410707430471248</c:v>
                </c:pt>
                <c:pt idx="7">
                  <c:v>76.020575288839169</c:v>
                </c:pt>
                <c:pt idx="8">
                  <c:v>84.327762138813313</c:v>
                </c:pt>
                <c:pt idx="9">
                  <c:v>65.633780700771027</c:v>
                </c:pt>
                <c:pt idx="10">
                  <c:v>65.320264178779965</c:v>
                </c:pt>
                <c:pt idx="11">
                  <c:v>71.996685670302</c:v>
                </c:pt>
                <c:pt idx="12">
                  <c:v>19.927315035446394</c:v>
                </c:pt>
                <c:pt idx="13">
                  <c:v>76.348794992479213</c:v>
                </c:pt>
                <c:pt idx="14">
                  <c:v>17.204004121909769</c:v>
                </c:pt>
                <c:pt idx="15">
                  <c:v>62.72521619158691</c:v>
                </c:pt>
                <c:pt idx="16">
                  <c:v>78.918224496990987</c:v>
                </c:pt>
                <c:pt idx="18">
                  <c:v>99.725052529089069</c:v>
                </c:pt>
                <c:pt idx="19">
                  <c:v>40.712201757442962</c:v>
                </c:pt>
                <c:pt idx="20">
                  <c:v>77.454456952949428</c:v>
                </c:pt>
                <c:pt idx="21">
                  <c:v>92.990396329271263</c:v>
                </c:pt>
                <c:pt idx="23">
                  <c:v>90.355483503796577</c:v>
                </c:pt>
                <c:pt idx="24">
                  <c:v>90.941479123424074</c:v>
                </c:pt>
                <c:pt idx="25">
                  <c:v>95.142659595301566</c:v>
                </c:pt>
                <c:pt idx="26">
                  <c:v>99.7977964403686</c:v>
                </c:pt>
                <c:pt idx="27">
                  <c:v>99.874716266127308</c:v>
                </c:pt>
                <c:pt idx="28">
                  <c:v>35.036881708211368</c:v>
                </c:pt>
                <c:pt idx="29">
                  <c:v>91.204643680859363</c:v>
                </c:pt>
                <c:pt idx="30">
                  <c:v>89.714184565439254</c:v>
                </c:pt>
                <c:pt idx="31">
                  <c:v>7.0044101992575243</c:v>
                </c:pt>
                <c:pt idx="32">
                  <c:v>76.208097857265074</c:v>
                </c:pt>
                <c:pt idx="33">
                  <c:v>88.541487646503299</c:v>
                </c:pt>
                <c:pt idx="35">
                  <c:v>99.818027982106429</c:v>
                </c:pt>
                <c:pt idx="36">
                  <c:v>31.369582313176085</c:v>
                </c:pt>
                <c:pt idx="37">
                  <c:v>86.042581958576619</c:v>
                </c:pt>
                <c:pt idx="38">
                  <c:v>97.183873948603846</c:v>
                </c:pt>
                <c:pt idx="40">
                  <c:v>85.829787385183181</c:v>
                </c:pt>
                <c:pt idx="41">
                  <c:v>87.846576472934046</c:v>
                </c:pt>
                <c:pt idx="42">
                  <c:v>87.54752734427872</c:v>
                </c:pt>
                <c:pt idx="43">
                  <c:v>99.577105732384837</c:v>
                </c:pt>
                <c:pt idx="44">
                  <c:v>99.597552938067921</c:v>
                </c:pt>
                <c:pt idx="45">
                  <c:v>29.464092292144109</c:v>
                </c:pt>
                <c:pt idx="46">
                  <c:v>93.592556920455408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1636992"/>
        <c:axId val="171512192"/>
      </c:scatterChart>
      <c:valAx>
        <c:axId val="171636992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crossAx val="171512192"/>
        <c:crosses val="autoZero"/>
        <c:crossBetween val="midCat"/>
      </c:valAx>
      <c:valAx>
        <c:axId val="171512192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716369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606641634965524"/>
          <c:y val="0.62288474767905744"/>
          <c:w val="0.19300655230220309"/>
          <c:h val="0.1336594248306265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>
        <c:manualLayout>
          <c:layoutTarget val="inner"/>
          <c:xMode val="edge"/>
          <c:yMode val="edge"/>
          <c:x val="7.02904684361738E-2"/>
          <c:y val="4.5483963212564496E-2"/>
          <c:w val="0.90294832013657744"/>
          <c:h val="0.86168433313558057"/>
        </c:manualLayout>
      </c:layout>
      <c:scatterChart>
        <c:scatterStyle val="lineMarker"/>
        <c:ser>
          <c:idx val="0"/>
          <c:order val="0"/>
          <c:tx>
            <c:strRef>
              <c:f>VFS_datapoints!$FP$3</c:f>
              <c:strCache>
                <c:ptCount val="1"/>
                <c:pt idx="0">
                  <c:v>new evaluation data (Kd from generic Koc)</c:v>
                </c:pt>
              </c:strCache>
            </c:strRef>
          </c:tx>
          <c:spPr>
            <a:ln w="28575">
              <a:noFill/>
            </a:ln>
          </c:spPr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3668470483349629"/>
                  <c:y val="5.840236247877132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fr-FR"/>
                </a:p>
              </c:txPr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VFS_datapoints!$FP$68:$FP$114</c:f>
              <c:numCache>
                <c:formatCode>General</c:formatCode>
                <c:ptCount val="47"/>
                <c:pt idx="0">
                  <c:v>81.292659067180409</c:v>
                </c:pt>
                <c:pt idx="1">
                  <c:v>81.430880080896031</c:v>
                </c:pt>
                <c:pt idx="2">
                  <c:v>62.770776520586566</c:v>
                </c:pt>
                <c:pt idx="3">
                  <c:v>62.805642854570266</c:v>
                </c:pt>
                <c:pt idx="4">
                  <c:v>60.294348374386807</c:v>
                </c:pt>
                <c:pt idx="5">
                  <c:v>60.799529087829789</c:v>
                </c:pt>
                <c:pt idx="6">
                  <c:v>75.198525707124148</c:v>
                </c:pt>
                <c:pt idx="7">
                  <c:v>75.322659156012932</c:v>
                </c:pt>
                <c:pt idx="8">
                  <c:v>78.291049355676563</c:v>
                </c:pt>
                <c:pt idx="9">
                  <c:v>64.659699613287842</c:v>
                </c:pt>
                <c:pt idx="10">
                  <c:v>64.759554250016961</c:v>
                </c:pt>
                <c:pt idx="11">
                  <c:v>67.146962120891914</c:v>
                </c:pt>
                <c:pt idx="12">
                  <c:v>34.747947815964011</c:v>
                </c:pt>
                <c:pt idx="13">
                  <c:v>62.365606017430046</c:v>
                </c:pt>
                <c:pt idx="14">
                  <c:v>31.506193551319146</c:v>
                </c:pt>
                <c:pt idx="15">
                  <c:v>43.819098055984099</c:v>
                </c:pt>
                <c:pt idx="16">
                  <c:v>65.424184093312817</c:v>
                </c:pt>
                <c:pt idx="18">
                  <c:v>99.71250012794971</c:v>
                </c:pt>
                <c:pt idx="19">
                  <c:v>45.811704389932174</c:v>
                </c:pt>
                <c:pt idx="20">
                  <c:v>72.766781688469152</c:v>
                </c:pt>
                <c:pt idx="21">
                  <c:v>90.701461166425261</c:v>
                </c:pt>
                <c:pt idx="23">
                  <c:v>92.279269212679594</c:v>
                </c:pt>
                <c:pt idx="24">
                  <c:v>92.257062258780749</c:v>
                </c:pt>
                <c:pt idx="25">
                  <c:v>96.614396642959903</c:v>
                </c:pt>
                <c:pt idx="26">
                  <c:v>99.840560500332117</c:v>
                </c:pt>
                <c:pt idx="27">
                  <c:v>99.928423235891017</c:v>
                </c:pt>
                <c:pt idx="28">
                  <c:v>44.600293114600824</c:v>
                </c:pt>
                <c:pt idx="29">
                  <c:v>87.106768270893227</c:v>
                </c:pt>
                <c:pt idx="30">
                  <c:v>92.850486548998177</c:v>
                </c:pt>
                <c:pt idx="31">
                  <c:v>8.5000255159398961</c:v>
                </c:pt>
                <c:pt idx="32">
                  <c:v>74.231038330667701</c:v>
                </c:pt>
                <c:pt idx="33">
                  <c:v>87.130382471922658</c:v>
                </c:pt>
                <c:pt idx="35">
                  <c:v>99.801120390820387</c:v>
                </c:pt>
                <c:pt idx="36">
                  <c:v>32.721851481361107</c:v>
                </c:pt>
                <c:pt idx="37">
                  <c:v>84.799519803802099</c:v>
                </c:pt>
                <c:pt idx="38">
                  <c:v>96.576901725671519</c:v>
                </c:pt>
                <c:pt idx="40">
                  <c:v>86.342349727364322</c:v>
                </c:pt>
                <c:pt idx="41">
                  <c:v>88.197092837661572</c:v>
                </c:pt>
                <c:pt idx="42">
                  <c:v>89.882416577208147</c:v>
                </c:pt>
                <c:pt idx="43">
                  <c:v>99.64495028608691</c:v>
                </c:pt>
                <c:pt idx="44">
                  <c:v>99.682758257614736</c:v>
                </c:pt>
                <c:pt idx="45">
                  <c:v>30.534372466751133</c:v>
                </c:pt>
                <c:pt idx="46">
                  <c:v>93.133947055949747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1543168"/>
        <c:axId val="171553536"/>
      </c:scatterChart>
      <c:valAx>
        <c:axId val="171543168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300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fr-FR"/>
          </a:p>
        </c:txPr>
        <c:crossAx val="171553536"/>
        <c:crosses val="autoZero"/>
        <c:crossBetween val="midCat"/>
      </c:valAx>
      <c:valAx>
        <c:axId val="171553536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300"/>
                  <a:t>deltaP predicted with dilution eq.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fr-FR"/>
          </a:p>
        </c:txPr>
        <c:crossAx val="171543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879071207176472"/>
          <c:y val="0.60563796976129602"/>
          <c:w val="0.30755797267822294"/>
          <c:h val="0.13365942483062659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deltaP_tot_dilution_eq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02904684361738E-2"/>
          <c:y val="0.12679020196772367"/>
          <c:w val="0.8694770964332984"/>
          <c:h val="0.78037809438042161"/>
        </c:manualLayout>
      </c:layout>
      <c:scatterChart>
        <c:scatterStyle val="lineMarker"/>
        <c:ser>
          <c:idx val="0"/>
          <c:order val="0"/>
          <c:tx>
            <c:strRef>
              <c:f>VFS_datapoints!$FP$3</c:f>
              <c:strCache>
                <c:ptCount val="1"/>
                <c:pt idx="0">
                  <c:v>new evaluation data (Kd from generic Koc)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VFS_datapoints!$GL$68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"/>
              <c:layout/>
              <c:tx>
                <c:strRef>
                  <c:f>VFS_datapoints!$GL$69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"/>
              <c:layout/>
              <c:tx>
                <c:strRef>
                  <c:f>VFS_datapoints!$GL$70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"/>
              <c:layout/>
              <c:tx>
                <c:strRef>
                  <c:f>VFS_datapoints!$GL$71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"/>
              <c:layout/>
              <c:tx>
                <c:strRef>
                  <c:f>VFS_datapoints!$GL$72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5"/>
              <c:layout/>
              <c:tx>
                <c:strRef>
                  <c:f>VFS_datapoints!$GL$73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6"/>
              <c:layout/>
              <c:tx>
                <c:strRef>
                  <c:f>VFS_datapoints!$GL$74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7"/>
              <c:layout/>
              <c:tx>
                <c:strRef>
                  <c:f>VFS_datapoints!$GL$75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8"/>
              <c:layout/>
              <c:tx>
                <c:strRef>
                  <c:f>VFS_datapoints!$GL$76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9"/>
              <c:layout/>
              <c:tx>
                <c:strRef>
                  <c:f>VFS_datapoints!$GL$77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0"/>
              <c:layout/>
              <c:tx>
                <c:strRef>
                  <c:f>VFS_datapoints!$GL$78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1"/>
              <c:layout/>
              <c:tx>
                <c:strRef>
                  <c:f>VFS_datapoints!$GL$79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2"/>
              <c:layout/>
              <c:tx>
                <c:strRef>
                  <c:f>VFS_datapoints!$GL$80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3"/>
              <c:layout/>
              <c:tx>
                <c:strRef>
                  <c:f>VFS_datapoints!$GL$81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4"/>
              <c:layout/>
              <c:tx>
                <c:strRef>
                  <c:f>VFS_datapoints!$GL$82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5"/>
              <c:layout/>
              <c:tx>
                <c:strRef>
                  <c:f>VFS_datapoints!$GL$83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6"/>
              <c:layout/>
              <c:tx>
                <c:strRef>
                  <c:f>VFS_datapoints!$GL$84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7"/>
              <c:tx>
                <c:strRef>
                  <c:f>VFS_datapoints!$GL$85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8"/>
              <c:layout/>
              <c:tx>
                <c:strRef>
                  <c:f>VFS_datapoints!$GL$86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9"/>
              <c:layout/>
              <c:tx>
                <c:strRef>
                  <c:f>VFS_datapoints!$GL$87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0"/>
              <c:layout/>
              <c:tx>
                <c:strRef>
                  <c:f>VFS_datapoints!$GL$88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1"/>
              <c:layout/>
              <c:tx>
                <c:strRef>
                  <c:f>VFS_datapoints!$GL$89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2"/>
              <c:tx>
                <c:strRef>
                  <c:f>VFS_datapoints!$GL$90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3"/>
              <c:layout/>
              <c:tx>
                <c:strRef>
                  <c:f>VFS_datapoints!$GL$91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4"/>
              <c:layout/>
              <c:tx>
                <c:strRef>
                  <c:f>VFS_datapoints!$GL$92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5"/>
              <c:layout/>
              <c:tx>
                <c:strRef>
                  <c:f>VFS_datapoints!$GL$93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6"/>
              <c:layout/>
              <c:tx>
                <c:strRef>
                  <c:f>VFS_datapoints!$GL$94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7"/>
              <c:layout/>
              <c:tx>
                <c:strRef>
                  <c:f>VFS_datapoints!$GL$95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8"/>
              <c:layout/>
              <c:tx>
                <c:strRef>
                  <c:f>VFS_datapoints!$GL$96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9"/>
              <c:layout/>
              <c:tx>
                <c:strRef>
                  <c:f>VFS_datapoints!$GL$97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0"/>
              <c:layout/>
              <c:tx>
                <c:strRef>
                  <c:f>VFS_datapoints!$GL$98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1"/>
              <c:layout/>
              <c:tx>
                <c:strRef>
                  <c:f>VFS_datapoints!$GL$99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2"/>
              <c:layout/>
              <c:tx>
                <c:strRef>
                  <c:f>VFS_datapoints!$GL$100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3"/>
              <c:layout/>
              <c:tx>
                <c:strRef>
                  <c:f>VFS_datapoints!$GL$101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4"/>
              <c:tx>
                <c:strRef>
                  <c:f>VFS_datapoints!$GL$102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5"/>
              <c:layout/>
              <c:tx>
                <c:strRef>
                  <c:f>VFS_datapoints!$GL$103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6"/>
              <c:layout/>
              <c:tx>
                <c:strRef>
                  <c:f>VFS_datapoints!$GL$104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7"/>
              <c:layout/>
              <c:tx>
                <c:strRef>
                  <c:f>VFS_datapoints!$GL$105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8"/>
              <c:layout/>
              <c:tx>
                <c:strRef>
                  <c:f>VFS_datapoints!$GL$106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9"/>
              <c:tx>
                <c:strRef>
                  <c:f>VFS_datapoints!$GL$107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0"/>
              <c:layout/>
              <c:tx>
                <c:strRef>
                  <c:f>VFS_datapoints!$GL$108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1"/>
              <c:layout/>
              <c:tx>
                <c:strRef>
                  <c:f>VFS_datapoints!$GL$109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2"/>
              <c:layout/>
              <c:tx>
                <c:strRef>
                  <c:f>VFS_datapoints!$GL$110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3"/>
              <c:layout/>
              <c:tx>
                <c:strRef>
                  <c:f>VFS_datapoints!$GL$111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4"/>
              <c:layout/>
              <c:tx>
                <c:strRef>
                  <c:f>VFS_datapoints!$GL$112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5"/>
              <c:layout/>
              <c:tx>
                <c:strRef>
                  <c:f>VFS_datapoints!$GL$113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6"/>
              <c:layout/>
              <c:tx>
                <c:strRef>
                  <c:f>VFS_datapoints!$GL$114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showVal val="1"/>
          </c:dLbls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36684704833496301"/>
                  <c:y val="5.8402362478771327E-2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VFS_datapoints!$FP$68:$FP$114</c:f>
              <c:numCache>
                <c:formatCode>General</c:formatCode>
                <c:ptCount val="47"/>
                <c:pt idx="0">
                  <c:v>81.292659067180409</c:v>
                </c:pt>
                <c:pt idx="1">
                  <c:v>81.430880080896031</c:v>
                </c:pt>
                <c:pt idx="2">
                  <c:v>62.770776520586566</c:v>
                </c:pt>
                <c:pt idx="3">
                  <c:v>62.805642854570266</c:v>
                </c:pt>
                <c:pt idx="4">
                  <c:v>60.294348374386807</c:v>
                </c:pt>
                <c:pt idx="5">
                  <c:v>60.799529087829789</c:v>
                </c:pt>
                <c:pt idx="6">
                  <c:v>75.198525707124148</c:v>
                </c:pt>
                <c:pt idx="7">
                  <c:v>75.322659156012932</c:v>
                </c:pt>
                <c:pt idx="8">
                  <c:v>78.291049355676563</c:v>
                </c:pt>
                <c:pt idx="9">
                  <c:v>64.659699613287842</c:v>
                </c:pt>
                <c:pt idx="10">
                  <c:v>64.759554250016961</c:v>
                </c:pt>
                <c:pt idx="11">
                  <c:v>67.146962120891914</c:v>
                </c:pt>
                <c:pt idx="12">
                  <c:v>34.747947815964011</c:v>
                </c:pt>
                <c:pt idx="13">
                  <c:v>62.365606017430046</c:v>
                </c:pt>
                <c:pt idx="14">
                  <c:v>31.506193551319146</c:v>
                </c:pt>
                <c:pt idx="15">
                  <c:v>43.819098055984099</c:v>
                </c:pt>
                <c:pt idx="16">
                  <c:v>65.424184093312817</c:v>
                </c:pt>
                <c:pt idx="18">
                  <c:v>99.71250012794971</c:v>
                </c:pt>
                <c:pt idx="19">
                  <c:v>45.811704389932174</c:v>
                </c:pt>
                <c:pt idx="20">
                  <c:v>72.766781688469152</c:v>
                </c:pt>
                <c:pt idx="21">
                  <c:v>90.701461166425261</c:v>
                </c:pt>
                <c:pt idx="23">
                  <c:v>92.279269212679594</c:v>
                </c:pt>
                <c:pt idx="24">
                  <c:v>92.257062258780749</c:v>
                </c:pt>
                <c:pt idx="25">
                  <c:v>96.614396642959903</c:v>
                </c:pt>
                <c:pt idx="26">
                  <c:v>99.840560500332117</c:v>
                </c:pt>
                <c:pt idx="27">
                  <c:v>99.928423235891017</c:v>
                </c:pt>
                <c:pt idx="28">
                  <c:v>44.600293114600824</c:v>
                </c:pt>
                <c:pt idx="29">
                  <c:v>87.106768270893227</c:v>
                </c:pt>
                <c:pt idx="30">
                  <c:v>92.850486548998177</c:v>
                </c:pt>
                <c:pt idx="31">
                  <c:v>8.5000255159398961</c:v>
                </c:pt>
                <c:pt idx="32">
                  <c:v>74.231038330667701</c:v>
                </c:pt>
                <c:pt idx="33">
                  <c:v>87.130382471922658</c:v>
                </c:pt>
                <c:pt idx="35">
                  <c:v>99.801120390820387</c:v>
                </c:pt>
                <c:pt idx="36">
                  <c:v>32.721851481361107</c:v>
                </c:pt>
                <c:pt idx="37">
                  <c:v>84.799519803802099</c:v>
                </c:pt>
                <c:pt idx="38">
                  <c:v>96.576901725671519</c:v>
                </c:pt>
                <c:pt idx="40">
                  <c:v>86.342349727364322</c:v>
                </c:pt>
                <c:pt idx="41">
                  <c:v>88.197092837661572</c:v>
                </c:pt>
                <c:pt idx="42">
                  <c:v>89.882416577208147</c:v>
                </c:pt>
                <c:pt idx="43">
                  <c:v>99.64495028608691</c:v>
                </c:pt>
                <c:pt idx="44">
                  <c:v>99.682758257614736</c:v>
                </c:pt>
                <c:pt idx="45">
                  <c:v>30.534372466751133</c:v>
                </c:pt>
                <c:pt idx="46">
                  <c:v>93.133947055949747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1736448"/>
        <c:axId val="171742720"/>
      </c:scatterChart>
      <c:valAx>
        <c:axId val="171736448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crossAx val="171742720"/>
        <c:crosses val="autoZero"/>
        <c:crossBetween val="midCat"/>
      </c:valAx>
      <c:valAx>
        <c:axId val="171742720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71736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606641634965547"/>
          <c:y val="0.62288474767905766"/>
          <c:w val="0.19300655230220309"/>
          <c:h val="0.1336594248306265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deltaP_tot_dilution_eq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7.02904684361738E-2"/>
          <c:y val="0.12679020196772367"/>
          <c:w val="0.8694770964332984"/>
          <c:h val="0.78037809438042161"/>
        </c:manualLayout>
      </c:layout>
      <c:scatterChart>
        <c:scatterStyle val="lineMarker"/>
        <c:ser>
          <c:idx val="0"/>
          <c:order val="0"/>
          <c:tx>
            <c:strRef>
              <c:f>VFS_datapoints!$FO$3</c:f>
              <c:strCache>
                <c:ptCount val="1"/>
                <c:pt idx="0">
                  <c:v>deltaP_tot_dilut_eq (empirical Kd = Si/Ci)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VFS_datapoints!$GL$68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"/>
              <c:layout/>
              <c:tx>
                <c:strRef>
                  <c:f>VFS_datapoints!$GL$69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"/>
              <c:layout/>
              <c:tx>
                <c:strRef>
                  <c:f>VFS_datapoints!$GL$70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"/>
              <c:layout/>
              <c:tx>
                <c:strRef>
                  <c:f>VFS_datapoints!$GL$71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"/>
              <c:layout/>
              <c:tx>
                <c:strRef>
                  <c:f>VFS_datapoints!$GL$72</c:f>
                  <c:strCache>
                    <c:ptCount val="1"/>
                    <c:pt idx="0">
                      <c:v>IPU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5"/>
              <c:layout/>
              <c:tx>
                <c:strRef>
                  <c:f>VFS_datapoints!$GL$73</c:f>
                  <c:strCache>
                    <c:ptCount val="1"/>
                    <c:pt idx="0">
                      <c:v>DFF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6"/>
              <c:layout/>
              <c:tx>
                <c:strRef>
                  <c:f>VFS_datapoints!$GL$74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7"/>
              <c:layout/>
              <c:tx>
                <c:strRef>
                  <c:f>VFS_datapoints!$GL$75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8"/>
              <c:layout/>
              <c:tx>
                <c:strRef>
                  <c:f>VFS_datapoints!$GL$76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9"/>
              <c:layout/>
              <c:tx>
                <c:strRef>
                  <c:f>VFS_datapoints!$GL$77</c:f>
                  <c:strCache>
                    <c:ptCount val="1"/>
                    <c:pt idx="0">
                      <c:v>ATR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0"/>
              <c:layout/>
              <c:tx>
                <c:strRef>
                  <c:f>VFS_datapoints!$GL$78</c:f>
                  <c:strCache>
                    <c:ptCount val="1"/>
                    <c:pt idx="0">
                      <c:v>ACT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1"/>
              <c:layout/>
              <c:tx>
                <c:strRef>
                  <c:f>VFS_datapoints!$GL$79</c:f>
                  <c:strCache>
                    <c:ptCount val="1"/>
                    <c:pt idx="0">
                      <c:v>CLP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2"/>
              <c:layout/>
              <c:tx>
                <c:strRef>
                  <c:f>VFS_datapoints!$GL$80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3"/>
              <c:layout/>
              <c:tx>
                <c:strRef>
                  <c:f>VFS_datapoints!$GL$81</c:f>
                  <c:strCache>
                    <c:ptCount val="1"/>
                    <c:pt idx="0">
                      <c:v>DET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4"/>
              <c:layout/>
              <c:tx>
                <c:strRef>
                  <c:f>VFS_datapoints!$GL$82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5"/>
              <c:layout/>
              <c:tx>
                <c:strRef>
                  <c:f>VFS_datapoints!$GL$83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6"/>
              <c:layout/>
              <c:tx>
                <c:strRef>
                  <c:f>VFS_datapoints!$GL$84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7"/>
              <c:tx>
                <c:strRef>
                  <c:f>VFS_datapoints!$GL$85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8"/>
              <c:layout/>
              <c:tx>
                <c:strRef>
                  <c:f>VFS_datapoints!$GL$86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19"/>
              <c:layout/>
              <c:tx>
                <c:strRef>
                  <c:f>VFS_datapoints!$GL$87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0"/>
              <c:layout/>
              <c:tx>
                <c:strRef>
                  <c:f>VFS_datapoints!$GL$88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1"/>
              <c:layout/>
              <c:tx>
                <c:strRef>
                  <c:f>VFS_datapoints!$GL$89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2"/>
              <c:tx>
                <c:strRef>
                  <c:f>VFS_datapoints!$GL$90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3"/>
              <c:layout/>
              <c:tx>
                <c:strRef>
                  <c:f>VFS_datapoints!$GL$91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4"/>
              <c:layout/>
              <c:tx>
                <c:strRef>
                  <c:f>VFS_datapoints!$GL$92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5"/>
              <c:layout/>
              <c:tx>
                <c:strRef>
                  <c:f>VFS_datapoints!$GL$93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6"/>
              <c:layout/>
              <c:tx>
                <c:strRef>
                  <c:f>VFS_datapoints!$GL$94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7"/>
              <c:layout/>
              <c:tx>
                <c:strRef>
                  <c:f>VFS_datapoints!$GL$95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8"/>
              <c:layout/>
              <c:tx>
                <c:strRef>
                  <c:f>VFS_datapoints!$GL$96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29"/>
              <c:layout/>
              <c:tx>
                <c:strRef>
                  <c:f>VFS_datapoints!$GL$97</c:f>
                  <c:strCache>
                    <c:ptCount val="1"/>
                    <c:pt idx="0">
                      <c:v>TBZ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0"/>
              <c:layout/>
              <c:tx>
                <c:strRef>
                  <c:f>VFS_datapoints!$GL$98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1"/>
              <c:layout/>
              <c:tx>
                <c:strRef>
                  <c:f>VFS_datapoints!$GL$99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2"/>
              <c:layout/>
              <c:tx>
                <c:strRef>
                  <c:f>VFS_datapoints!$GL$100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3"/>
              <c:layout/>
              <c:tx>
                <c:strRef>
                  <c:f>VFS_datapoints!$GL$101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4"/>
              <c:tx>
                <c:strRef>
                  <c:f>VFS_datapoints!$GL$102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5"/>
              <c:layout/>
              <c:tx>
                <c:strRef>
                  <c:f>VFS_datapoints!$GL$103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6"/>
              <c:layout/>
              <c:tx>
                <c:strRef>
                  <c:f>VFS_datapoints!$GL$104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7"/>
              <c:layout/>
              <c:tx>
                <c:strRef>
                  <c:f>VFS_datapoints!$GL$105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8"/>
              <c:layout/>
              <c:tx>
                <c:strRef>
                  <c:f>VFS_datapoints!$GL$106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39"/>
              <c:tx>
                <c:strRef>
                  <c:f>VFS_datapoints!$GL$107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0"/>
              <c:layout/>
              <c:tx>
                <c:strRef>
                  <c:f>VFS_datapoints!$GL$108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1"/>
              <c:layout/>
              <c:tx>
                <c:strRef>
                  <c:f>VFS_datapoints!$GL$109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2"/>
              <c:layout/>
              <c:tx>
                <c:strRef>
                  <c:f>VFS_datapoints!$GL$110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3"/>
              <c:layout/>
              <c:tx>
                <c:strRef>
                  <c:f>VFS_datapoints!$GL$111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4"/>
              <c:layout/>
              <c:tx>
                <c:strRef>
                  <c:f>VFS_datapoints!$GL$112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5"/>
              <c:layout/>
              <c:tx>
                <c:strRef>
                  <c:f>VFS_datapoints!$GL$113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dLbl>
              <c:idx val="46"/>
              <c:layout/>
              <c:tx>
                <c:strRef>
                  <c:f>VFS_datapoints!$GL$114</c:f>
                  <c:strCache>
                    <c:ptCount val="1"/>
                    <c:pt idx="0">
                      <c:v>PND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u="none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Val val="1"/>
            </c:dLbl>
            <c:showVal val="1"/>
          </c:dLbls>
          <c:trendline>
            <c:name>linear (new evaluation data)</c:name>
            <c:trendlineType val="linear"/>
            <c:dispRSqr val="1"/>
            <c:dispEq val="1"/>
            <c:trendlineLbl>
              <c:layout>
                <c:manualLayout>
                  <c:x val="-0.36684704833496301"/>
                  <c:y val="5.8402362478771327E-2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VFS_datapoints!$FO$68:$FO$114</c:f>
              <c:numCache>
                <c:formatCode>General</c:formatCode>
                <c:ptCount val="47"/>
                <c:pt idx="0">
                  <c:v>81.329137734916429</c:v>
                </c:pt>
                <c:pt idx="1">
                  <c:v>81.978626250043177</c:v>
                </c:pt>
                <c:pt idx="2">
                  <c:v>62.783008335382014</c:v>
                </c:pt>
                <c:pt idx="3">
                  <c:v>62.88399422701012</c:v>
                </c:pt>
                <c:pt idx="4">
                  <c:v>60.573400927591784</c:v>
                </c:pt>
                <c:pt idx="5">
                  <c:v>62.280805788625358</c:v>
                </c:pt>
                <c:pt idx="6">
                  <c:v>76.410707430471248</c:v>
                </c:pt>
                <c:pt idx="7">
                  <c:v>76.020575288839169</c:v>
                </c:pt>
                <c:pt idx="8">
                  <c:v>84.327762138813313</c:v>
                </c:pt>
                <c:pt idx="9">
                  <c:v>65.633780700771027</c:v>
                </c:pt>
                <c:pt idx="10">
                  <c:v>65.320264178779965</c:v>
                </c:pt>
                <c:pt idx="11">
                  <c:v>71.996685670302</c:v>
                </c:pt>
                <c:pt idx="12">
                  <c:v>19.927315035446394</c:v>
                </c:pt>
                <c:pt idx="13">
                  <c:v>76.348794992479213</c:v>
                </c:pt>
                <c:pt idx="14">
                  <c:v>17.204004121909769</c:v>
                </c:pt>
                <c:pt idx="15">
                  <c:v>62.72521619158691</c:v>
                </c:pt>
                <c:pt idx="16">
                  <c:v>78.918224496990987</c:v>
                </c:pt>
                <c:pt idx="18">
                  <c:v>99.725052529089069</c:v>
                </c:pt>
                <c:pt idx="19">
                  <c:v>40.712201757442962</c:v>
                </c:pt>
                <c:pt idx="20">
                  <c:v>77.454456952949428</c:v>
                </c:pt>
                <c:pt idx="21">
                  <c:v>92.990396329271263</c:v>
                </c:pt>
                <c:pt idx="23">
                  <c:v>90.355483503796577</c:v>
                </c:pt>
                <c:pt idx="24">
                  <c:v>90.941479123424074</c:v>
                </c:pt>
                <c:pt idx="25">
                  <c:v>95.142659595301566</c:v>
                </c:pt>
                <c:pt idx="26">
                  <c:v>99.7977964403686</c:v>
                </c:pt>
                <c:pt idx="27">
                  <c:v>99.874716266127308</c:v>
                </c:pt>
                <c:pt idx="28">
                  <c:v>35.036881708211368</c:v>
                </c:pt>
                <c:pt idx="29">
                  <c:v>91.204643680859363</c:v>
                </c:pt>
                <c:pt idx="30">
                  <c:v>89.714184565439254</c:v>
                </c:pt>
                <c:pt idx="31">
                  <c:v>7.0044101992575243</c:v>
                </c:pt>
                <c:pt idx="32">
                  <c:v>76.208097857265074</c:v>
                </c:pt>
                <c:pt idx="33">
                  <c:v>88.541487646503299</c:v>
                </c:pt>
                <c:pt idx="35">
                  <c:v>99.818027982106429</c:v>
                </c:pt>
                <c:pt idx="36">
                  <c:v>31.369582313176085</c:v>
                </c:pt>
                <c:pt idx="37">
                  <c:v>86.042581958576619</c:v>
                </c:pt>
                <c:pt idx="38">
                  <c:v>97.183873948603846</c:v>
                </c:pt>
                <c:pt idx="40">
                  <c:v>85.829787385183181</c:v>
                </c:pt>
                <c:pt idx="41">
                  <c:v>87.846576472934046</c:v>
                </c:pt>
                <c:pt idx="42">
                  <c:v>87.54752734427872</c:v>
                </c:pt>
                <c:pt idx="43">
                  <c:v>99.577105732384837</c:v>
                </c:pt>
                <c:pt idx="44">
                  <c:v>99.597552938067921</c:v>
                </c:pt>
                <c:pt idx="45">
                  <c:v>29.464092292144109</c:v>
                </c:pt>
                <c:pt idx="46">
                  <c:v>93.592556920455408</c:v>
                </c:pt>
              </c:numCache>
            </c:numRef>
          </c:yVal>
        </c:ser>
        <c:ser>
          <c:idx val="1"/>
          <c:order val="1"/>
          <c:tx>
            <c:v>1:1 line</c:v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2227584"/>
        <c:axId val="172237952"/>
      </c:scatterChart>
      <c:valAx>
        <c:axId val="172227584"/>
        <c:scaling>
          <c:orientation val="minMax"/>
          <c:max val="10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" sourceLinked="0"/>
        <c:tickLblPos val="nextTo"/>
        <c:spPr>
          <a:ln>
            <a:solidFill>
              <a:sysClr val="windowText" lastClr="000000"/>
            </a:solidFill>
          </a:ln>
        </c:spPr>
        <c:crossAx val="172237952"/>
        <c:crosses val="autoZero"/>
        <c:crossBetween val="midCat"/>
      </c:valAx>
      <c:valAx>
        <c:axId val="172237952"/>
        <c:scaling>
          <c:orientation val="minMax"/>
          <c:max val="11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172227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606641634965547"/>
          <c:y val="0.62288474767905766"/>
          <c:w val="0.19300655230220309"/>
          <c:h val="0.1336594248306265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measured</a:t>
            </a:r>
            <a:r>
              <a:rPr lang="de-DE" baseline="0"/>
              <a:t> deltaQ vs. deltaE</a:t>
            </a:r>
            <a:endParaRPr lang="de-DE"/>
          </a:p>
        </c:rich>
      </c:tx>
      <c:layout/>
    </c:title>
    <c:plotArea>
      <c:layout>
        <c:manualLayout>
          <c:layoutTarget val="inner"/>
          <c:xMode val="edge"/>
          <c:yMode val="edge"/>
          <c:x val="7.4740060045845519E-2"/>
          <c:y val="0.13409036308723499"/>
          <c:w val="0.89464125728354704"/>
          <c:h val="0.77307790684102085"/>
        </c:manualLayout>
      </c:layout>
      <c:scatterChart>
        <c:scatterStyle val="lineMarker"/>
        <c:ser>
          <c:idx val="0"/>
          <c:order val="0"/>
          <c:tx>
            <c:v>deltaE</c:v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973488340306088"/>
                  <c:y val="-0.13429817111456771"/>
                </c:manualLayout>
              </c:layout>
              <c:numFmt formatCode="General" sourceLinked="0"/>
            </c:trendlineLbl>
          </c:trendline>
          <c:xVal>
            <c:numRef>
              <c:f>VFS_datapoints!$GC$68:$GC$114</c:f>
              <c:numCache>
                <c:formatCode>General</c:formatCode>
                <c:ptCount val="47"/>
                <c:pt idx="0">
                  <c:v>81.28898128898129</c:v>
                </c:pt>
                <c:pt idx="1">
                  <c:v>81.28898128898129</c:v>
                </c:pt>
                <c:pt idx="2">
                  <c:v>62.769784172661872</c:v>
                </c:pt>
                <c:pt idx="3">
                  <c:v>62.769784172661872</c:v>
                </c:pt>
                <c:pt idx="4">
                  <c:v>60.280842527582749</c:v>
                </c:pt>
                <c:pt idx="5">
                  <c:v>60.280842527582749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64.5</c:v>
                </c:pt>
                <c:pt idx="10">
                  <c:v>64.5</c:v>
                </c:pt>
                <c:pt idx="11">
                  <c:v>64.5</c:v>
                </c:pt>
                <c:pt idx="12">
                  <c:v>36.742800397219469</c:v>
                </c:pt>
                <c:pt idx="13">
                  <c:v>60.483473112974842</c:v>
                </c:pt>
                <c:pt idx="14">
                  <c:v>36.742800397219469</c:v>
                </c:pt>
                <c:pt idx="15">
                  <c:v>36.896807720861176</c:v>
                </c:pt>
                <c:pt idx="16">
                  <c:v>60.483473112974842</c:v>
                </c:pt>
                <c:pt idx="18">
                  <c:v>99.704264099037147</c:v>
                </c:pt>
                <c:pt idx="19">
                  <c:v>48.490230905861459</c:v>
                </c:pt>
                <c:pt idx="20">
                  <c:v>70.304568527918789</c:v>
                </c:pt>
                <c:pt idx="21">
                  <c:v>89.499192245557353</c:v>
                </c:pt>
                <c:pt idx="23">
                  <c:v>93.161094224924014</c:v>
                </c:pt>
                <c:pt idx="24">
                  <c:v>92.860099337748352</c:v>
                </c:pt>
                <c:pt idx="25">
                  <c:v>96.92307692307692</c:v>
                </c:pt>
                <c:pt idx="26">
                  <c:v>99.849529780564268</c:v>
                </c:pt>
                <c:pt idx="27">
                  <c:v>99.93968766828219</c:v>
                </c:pt>
                <c:pt idx="28">
                  <c:v>47.482014388489205</c:v>
                </c:pt>
                <c:pt idx="29">
                  <c:v>85.871964679911699</c:v>
                </c:pt>
                <c:pt idx="30">
                  <c:v>99.668325041459354</c:v>
                </c:pt>
                <c:pt idx="31">
                  <c:v>36.742800397219469</c:v>
                </c:pt>
                <c:pt idx="32">
                  <c:v>36.896807720861176</c:v>
                </c:pt>
                <c:pt idx="33">
                  <c:v>60.483473112974842</c:v>
                </c:pt>
                <c:pt idx="35">
                  <c:v>99.704264099037147</c:v>
                </c:pt>
                <c:pt idx="36">
                  <c:v>48.490230905861459</c:v>
                </c:pt>
                <c:pt idx="37">
                  <c:v>70.304568527918789</c:v>
                </c:pt>
                <c:pt idx="38">
                  <c:v>89.499192245557353</c:v>
                </c:pt>
                <c:pt idx="40">
                  <c:v>93.161094224924014</c:v>
                </c:pt>
                <c:pt idx="41">
                  <c:v>92.860099337748352</c:v>
                </c:pt>
                <c:pt idx="42">
                  <c:v>96.92307692307692</c:v>
                </c:pt>
                <c:pt idx="43">
                  <c:v>99.849529780564268</c:v>
                </c:pt>
                <c:pt idx="44">
                  <c:v>99.93968766828219</c:v>
                </c:pt>
                <c:pt idx="45">
                  <c:v>47.482014388489205</c:v>
                </c:pt>
                <c:pt idx="46">
                  <c:v>85.871964679911699</c:v>
                </c:pt>
              </c:numCache>
            </c:numRef>
          </c:xVal>
          <c:yVal>
            <c:numRef>
              <c:f>VFS_datapoints!$GD$68:$GD$114</c:f>
              <c:numCache>
                <c:formatCode>General</c:formatCode>
                <c:ptCount val="47"/>
                <c:pt idx="0">
                  <c:v>88.535936821024109</c:v>
                </c:pt>
                <c:pt idx="1">
                  <c:v>88.535936821024109</c:v>
                </c:pt>
                <c:pt idx="2">
                  <c:v>63.199590826377531</c:v>
                </c:pt>
                <c:pt idx="3">
                  <c:v>63.199590826377531</c:v>
                </c:pt>
                <c:pt idx="4">
                  <c:v>81.689411666199746</c:v>
                </c:pt>
                <c:pt idx="5">
                  <c:v>81.689411666199746</c:v>
                </c:pt>
                <c:pt idx="6">
                  <c:v>91.265587294391835</c:v>
                </c:pt>
                <c:pt idx="7">
                  <c:v>91.265587294391835</c:v>
                </c:pt>
                <c:pt idx="8">
                  <c:v>91.265587294391835</c:v>
                </c:pt>
                <c:pt idx="9">
                  <c:v>77.57295203472593</c:v>
                </c:pt>
                <c:pt idx="10">
                  <c:v>77.57295203472593</c:v>
                </c:pt>
                <c:pt idx="11">
                  <c:v>77.57295203472593</c:v>
                </c:pt>
                <c:pt idx="12">
                  <c:v>6.2154603722585868</c:v>
                </c:pt>
                <c:pt idx="13">
                  <c:v>89.285857653245543</c:v>
                </c:pt>
                <c:pt idx="14">
                  <c:v>6.2154603722585868</c:v>
                </c:pt>
                <c:pt idx="15">
                  <c:v>77.251013608446058</c:v>
                </c:pt>
                <c:pt idx="16">
                  <c:v>89.285857653245543</c:v>
                </c:pt>
                <c:pt idx="18">
                  <c:v>99.822857142857146</c:v>
                </c:pt>
                <c:pt idx="19">
                  <c:v>31.290016599478299</c:v>
                </c:pt>
                <c:pt idx="20">
                  <c:v>86.115722077306131</c:v>
                </c:pt>
                <c:pt idx="21">
                  <c:v>97.21958738439649</c:v>
                </c:pt>
                <c:pt idx="23">
                  <c:v>85.459057071960302</c:v>
                </c:pt>
                <c:pt idx="24">
                  <c:v>87.593052109181144</c:v>
                </c:pt>
                <c:pt idx="25">
                  <c:v>85.720823798626995</c:v>
                </c:pt>
                <c:pt idx="26">
                  <c:v>99.524027459954226</c:v>
                </c:pt>
                <c:pt idx="27">
                  <c:v>99.530892448512589</c:v>
                </c:pt>
                <c:pt idx="28">
                  <c:v>28.997474256848648</c:v>
                </c:pt>
                <c:pt idx="29">
                  <c:v>93.792500485719842</c:v>
                </c:pt>
                <c:pt idx="30">
                  <c:v>89.215686274509792</c:v>
                </c:pt>
                <c:pt idx="31">
                  <c:v>6.2154603722585868</c:v>
                </c:pt>
                <c:pt idx="32">
                  <c:v>77.251013608446058</c:v>
                </c:pt>
                <c:pt idx="33">
                  <c:v>89.285857653245543</c:v>
                </c:pt>
                <c:pt idx="35">
                  <c:v>99.822857142857146</c:v>
                </c:pt>
                <c:pt idx="36">
                  <c:v>31.290016599478299</c:v>
                </c:pt>
                <c:pt idx="37">
                  <c:v>86.115722077306131</c:v>
                </c:pt>
                <c:pt idx="38">
                  <c:v>97.21958738439649</c:v>
                </c:pt>
                <c:pt idx="40">
                  <c:v>85.459057071960302</c:v>
                </c:pt>
                <c:pt idx="41">
                  <c:v>87.593052109181144</c:v>
                </c:pt>
                <c:pt idx="42">
                  <c:v>85.720823798626995</c:v>
                </c:pt>
                <c:pt idx="43">
                  <c:v>99.524027459954226</c:v>
                </c:pt>
                <c:pt idx="44">
                  <c:v>99.530892448512589</c:v>
                </c:pt>
                <c:pt idx="45">
                  <c:v>28.997474256848648</c:v>
                </c:pt>
                <c:pt idx="46">
                  <c:v>93.792500485719842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3726592"/>
        <c:axId val="96948224"/>
      </c:scatterChart>
      <c:valAx>
        <c:axId val="93726592"/>
        <c:scaling>
          <c:orientation val="minMax"/>
          <c:max val="1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deltaQ measured (%)</a:t>
                </a:r>
              </a:p>
            </c:rich>
          </c:tx>
          <c:layout/>
        </c:title>
        <c:numFmt formatCode="0" sourceLinked="0"/>
        <c:tickLblPos val="nextTo"/>
        <c:crossAx val="96948224"/>
        <c:crosses val="autoZero"/>
        <c:crossBetween val="midCat"/>
      </c:valAx>
      <c:valAx>
        <c:axId val="9694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deltaE measured (%)</a:t>
                </a:r>
              </a:p>
            </c:rich>
          </c:tx>
          <c:layout/>
        </c:title>
        <c:numFmt formatCode="General" sourceLinked="1"/>
        <c:tickLblPos val="nextTo"/>
        <c:crossAx val="93726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0807291123135"/>
          <c:y val="0.64395299032838182"/>
          <c:w val="0.17042646490496341"/>
          <c:h val="0.133804869816039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deltaP_tot_Chen_et_al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740060045845491E-2"/>
          <c:y val="0.13409036308723493"/>
          <c:w val="0.8946412572835466"/>
          <c:h val="0.77307790684102085"/>
        </c:manualLayout>
      </c:layout>
      <c:scatterChart>
        <c:scatterStyle val="lineMarker"/>
        <c:ser>
          <c:idx val="0"/>
          <c:order val="0"/>
          <c:tx>
            <c:strRef>
              <c:f>VFS_datapoints!$FQ$3</c:f>
              <c:strCache>
                <c:ptCount val="1"/>
                <c:pt idx="0">
                  <c:v>deltaP_tot_Chen</c:v>
                </c:pt>
              </c:strCache>
            </c:strRef>
          </c:tx>
          <c:spPr>
            <a:ln w="25400">
              <a:noFill/>
            </a:ln>
          </c:spPr>
          <c:trendline>
            <c:name>linear new evaluation data</c:name>
            <c:trendlineType val="linear"/>
            <c:dispRSqr val="1"/>
            <c:dispEq val="1"/>
            <c:trendlineLbl>
              <c:layout>
                <c:manualLayout>
                  <c:x val="-0.24973488340306077"/>
                  <c:y val="-0.13429817111456771"/>
                </c:manualLayout>
              </c:layout>
              <c:numFmt formatCode="General" sourceLinked="0"/>
            </c:trendlineLbl>
          </c:trendline>
          <c:xVal>
            <c:numRef>
              <c:f>VFS_datapoints!$FL$68:$FL$114</c:f>
              <c:numCache>
                <c:formatCode>0.00</c:formatCode>
                <c:ptCount val="47"/>
                <c:pt idx="0">
                  <c:v>77.105335371364873</c:v>
                </c:pt>
                <c:pt idx="1">
                  <c:v>79.210320315650478</c:v>
                </c:pt>
                <c:pt idx="2">
                  <c:v>60.686827587928413</c:v>
                </c:pt>
                <c:pt idx="3">
                  <c:v>67.532467532467535</c:v>
                </c:pt>
                <c:pt idx="4">
                  <c:v>48.448559376563942</c:v>
                </c:pt>
                <c:pt idx="5">
                  <c:v>32.288438149790096</c:v>
                </c:pt>
                <c:pt idx="6">
                  <c:v>79.858701159644752</c:v>
                </c:pt>
                <c:pt idx="7">
                  <c:v>84.336586813800807</c:v>
                </c:pt>
                <c:pt idx="8">
                  <c:v>89.474075174565442</c:v>
                </c:pt>
                <c:pt idx="9">
                  <c:v>62.932350576679696</c:v>
                </c:pt>
                <c:pt idx="10">
                  <c:v>74.342107175981781</c:v>
                </c:pt>
                <c:pt idx="11">
                  <c:v>75.619712037999108</c:v>
                </c:pt>
                <c:pt idx="12">
                  <c:v>25.935373807791219</c:v>
                </c:pt>
                <c:pt idx="13">
                  <c:v>50.085533483695365</c:v>
                </c:pt>
                <c:pt idx="14">
                  <c:v>12.102602707071858</c:v>
                </c:pt>
                <c:pt idx="15">
                  <c:v>54.781306660163601</c:v>
                </c:pt>
                <c:pt idx="16">
                  <c:v>59.676250694621423</c:v>
                </c:pt>
                <c:pt idx="18">
                  <c:v>99.172599259635632</c:v>
                </c:pt>
                <c:pt idx="19">
                  <c:v>32.700978265637872</c:v>
                </c:pt>
                <c:pt idx="20">
                  <c:v>72.479028460852319</c:v>
                </c:pt>
                <c:pt idx="21">
                  <c:v>78.822096520259905</c:v>
                </c:pt>
                <c:pt idx="23">
                  <c:v>84.463040313603102</c:v>
                </c:pt>
                <c:pt idx="24">
                  <c:v>81.075346571393226</c:v>
                </c:pt>
                <c:pt idx="25">
                  <c:v>96.579622798358173</c:v>
                </c:pt>
                <c:pt idx="26">
                  <c:v>99.082579103236867</c:v>
                </c:pt>
                <c:pt idx="27">
                  <c:v>99.574479139606183</c:v>
                </c:pt>
                <c:pt idx="28">
                  <c:v>21.124882362986952</c:v>
                </c:pt>
                <c:pt idx="29">
                  <c:v>81.590852109835737</c:v>
                </c:pt>
                <c:pt idx="30">
                  <c:v>92.373202119606361</c:v>
                </c:pt>
                <c:pt idx="31">
                  <c:v>5.5690471364224337</c:v>
                </c:pt>
                <c:pt idx="32">
                  <c:v>82.227268858764532</c:v>
                </c:pt>
                <c:pt idx="33">
                  <c:v>90.062742129429481</c:v>
                </c:pt>
                <c:pt idx="35">
                  <c:v>99.94386645287193</c:v>
                </c:pt>
                <c:pt idx="36">
                  <c:v>43.642798463332802</c:v>
                </c:pt>
                <c:pt idx="37">
                  <c:v>85.589426046203101</c:v>
                </c:pt>
                <c:pt idx="38">
                  <c:v>90.910351245831563</c:v>
                </c:pt>
                <c:pt idx="40">
                  <c:v>87.284972747790675</c:v>
                </c:pt>
                <c:pt idx="41">
                  <c:v>84.361679498548298</c:v>
                </c:pt>
                <c:pt idx="42">
                  <c:v>88.721496714266905</c:v>
                </c:pt>
                <c:pt idx="43">
                  <c:v>99.608824198317024</c:v>
                </c:pt>
                <c:pt idx="44">
                  <c:v>99.690003950061651</c:v>
                </c:pt>
                <c:pt idx="45">
                  <c:v>29.260754934179989</c:v>
                </c:pt>
                <c:pt idx="46">
                  <c:v>88.181083941402548</c:v>
                </c:pt>
              </c:numCache>
            </c:numRef>
          </c:xVal>
          <c:yVal>
            <c:numRef>
              <c:f>VFS_datapoints!$FQ$68:$FQ$114</c:f>
              <c:numCache>
                <c:formatCode>General</c:formatCode>
                <c:ptCount val="47"/>
                <c:pt idx="0">
                  <c:v>83.810731861796739</c:v>
                </c:pt>
                <c:pt idx="1">
                  <c:v>83.810731861796739</c:v>
                </c:pt>
                <c:pt idx="2">
                  <c:v>80.158906520700256</c:v>
                </c:pt>
                <c:pt idx="3">
                  <c:v>80.158906520700256</c:v>
                </c:pt>
                <c:pt idx="4">
                  <c:v>75.401209518952271</c:v>
                </c:pt>
                <c:pt idx="5">
                  <c:v>75.401209518952271</c:v>
                </c:pt>
                <c:pt idx="6">
                  <c:v>75.849120912786617</c:v>
                </c:pt>
                <c:pt idx="7">
                  <c:v>75.849120912786617</c:v>
                </c:pt>
                <c:pt idx="8">
                  <c:v>75.849120912786617</c:v>
                </c:pt>
                <c:pt idx="9">
                  <c:v>73.267036469093966</c:v>
                </c:pt>
                <c:pt idx="10">
                  <c:v>73.267036469093966</c:v>
                </c:pt>
                <c:pt idx="11">
                  <c:v>73.267036469093966</c:v>
                </c:pt>
                <c:pt idx="12">
                  <c:v>72.105120719576618</c:v>
                </c:pt>
                <c:pt idx="13">
                  <c:v>66.761817006375438</c:v>
                </c:pt>
                <c:pt idx="14">
                  <c:v>72.105120719576618</c:v>
                </c:pt>
                <c:pt idx="15">
                  <c:v>54.895402978370186</c:v>
                </c:pt>
                <c:pt idx="16">
                  <c:v>66.761817006375438</c:v>
                </c:pt>
                <c:pt idx="18">
                  <c:v>84.182255894918896</c:v>
                </c:pt>
                <c:pt idx="19">
                  <c:v>73.007182715130469</c:v>
                </c:pt>
                <c:pt idx="20">
                  <c:v>72.943474401399243</c:v>
                </c:pt>
                <c:pt idx="21">
                  <c:v>80.214096941612524</c:v>
                </c:pt>
                <c:pt idx="23">
                  <c:v>83.853780390625502</c:v>
                </c:pt>
                <c:pt idx="24">
                  <c:v>83.372278359988627</c:v>
                </c:pt>
                <c:pt idx="25">
                  <c:v>85.334842162444076</c:v>
                </c:pt>
                <c:pt idx="26">
                  <c:v>84.290683537984805</c:v>
                </c:pt>
                <c:pt idx="27">
                  <c:v>84.326397871755788</c:v>
                </c:pt>
                <c:pt idx="28">
                  <c:v>72.959188632901402</c:v>
                </c:pt>
                <c:pt idx="29">
                  <c:v>79.172629884118109</c:v>
                </c:pt>
                <c:pt idx="30">
                  <c:v>100.47599908540116</c:v>
                </c:pt>
                <c:pt idx="31">
                  <c:v>92.945939172128178</c:v>
                </c:pt>
                <c:pt idx="32">
                  <c:v>82.92841641935911</c:v>
                </c:pt>
                <c:pt idx="33">
                  <c:v>91.535113649162909</c:v>
                </c:pt>
                <c:pt idx="35">
                  <c:v>100.12782770191608</c:v>
                </c:pt>
                <c:pt idx="36">
                  <c:v>94.051917493920783</c:v>
                </c:pt>
                <c:pt idx="37">
                  <c:v>95.125215805904247</c:v>
                </c:pt>
                <c:pt idx="38">
                  <c:v>98.767473831929294</c:v>
                </c:pt>
                <c:pt idx="40">
                  <c:v>99.920087364753456</c:v>
                </c:pt>
                <c:pt idx="41">
                  <c:v>99.790138502195404</c:v>
                </c:pt>
                <c:pt idx="42">
                  <c:v>100.32974233551525</c:v>
                </c:pt>
                <c:pt idx="43">
                  <c:v>100.15505705500318</c:v>
                </c:pt>
                <c:pt idx="44">
                  <c:v>100.16472216375998</c:v>
                </c:pt>
                <c:pt idx="45">
                  <c:v>93.974651566522496</c:v>
                </c:pt>
                <c:pt idx="46">
                  <c:v>98.299704909804149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68696064"/>
        <c:axId val="168735104"/>
      </c:scatterChart>
      <c:valAx>
        <c:axId val="168696064"/>
        <c:scaling>
          <c:orientation val="minMax"/>
          <c:max val="1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" sourceLinked="0"/>
        <c:tickLblPos val="nextTo"/>
        <c:crossAx val="168735104"/>
        <c:crosses val="autoZero"/>
        <c:crossBetween val="midCat"/>
      </c:valAx>
      <c:valAx>
        <c:axId val="16873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crossAx val="168696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108072911231372"/>
          <c:y val="0.6439529903283816"/>
          <c:w val="0.17042646490496335"/>
          <c:h val="0.1338048698160394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deltaP_dissolved_Sabbagh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VFS_datapoints!$FT$3</c:f>
              <c:strCache>
                <c:ptCount val="1"/>
                <c:pt idx="0">
                  <c:v>deltaP_diss_Sabbagh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24746377289944"/>
                  <c:y val="-0.27631980917396787"/>
                </c:manualLayout>
              </c:layout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VFS_datapoints!$FT$68:$FT$114</c:f>
              <c:numCache>
                <c:formatCode>General</c:formatCode>
                <c:ptCount val="47"/>
                <c:pt idx="0">
                  <c:v>85.042324189443036</c:v>
                </c:pt>
                <c:pt idx="1">
                  <c:v>93.548835258902457</c:v>
                </c:pt>
                <c:pt idx="2">
                  <c:v>64.553617818412832</c:v>
                </c:pt>
                <c:pt idx="3">
                  <c:v>69.468418342041716</c:v>
                </c:pt>
                <c:pt idx="4">
                  <c:v>70.841854914255592</c:v>
                </c:pt>
                <c:pt idx="5">
                  <c:v>78.560705441285691</c:v>
                </c:pt>
                <c:pt idx="6">
                  <c:v>81.491954794987691</c:v>
                </c:pt>
                <c:pt idx="7">
                  <c:v>83.074186635217799</c:v>
                </c:pt>
                <c:pt idx="8">
                  <c:v>81.924917967272734</c:v>
                </c:pt>
                <c:pt idx="9">
                  <c:v>69.183344085399881</c:v>
                </c:pt>
                <c:pt idx="10">
                  <c:v>70.723846297505943</c:v>
                </c:pt>
                <c:pt idx="11">
                  <c:v>69.614771997427468</c:v>
                </c:pt>
                <c:pt idx="12">
                  <c:v>18.147418474013691</c:v>
                </c:pt>
                <c:pt idx="13">
                  <c:v>0</c:v>
                </c:pt>
                <c:pt idx="14">
                  <c:v>7.2986363709932434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95.846722888768554</c:v>
                </c:pt>
                <c:pt idx="19">
                  <c:v>45.104245427378906</c:v>
                </c:pt>
                <c:pt idx="20">
                  <c:v>70.496605103198775</c:v>
                </c:pt>
                <c:pt idx="21">
                  <c:v>91.554949090767948</c:v>
                </c:pt>
                <c:pt idx="22">
                  <c:v>0</c:v>
                </c:pt>
                <c:pt idx="23">
                  <c:v>86.459102073479684</c:v>
                </c:pt>
                <c:pt idx="24">
                  <c:v>83.771812406967157</c:v>
                </c:pt>
                <c:pt idx="25">
                  <c:v>85.305887897851946</c:v>
                </c:pt>
                <c:pt idx="26">
                  <c:v>92.706140132547688</c:v>
                </c:pt>
                <c:pt idx="27">
                  <c:v>91.009154201091917</c:v>
                </c:pt>
                <c:pt idx="28">
                  <c:v>0</c:v>
                </c:pt>
                <c:pt idx="29">
                  <c:v>74.931102657996988</c:v>
                </c:pt>
                <c:pt idx="30">
                  <c:v>21.807248702585998</c:v>
                </c:pt>
                <c:pt idx="31">
                  <c:v>34.392331454779374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184.50598761545695</c:v>
                </c:pt>
                <c:pt idx="36">
                  <c:v>0</c:v>
                </c:pt>
                <c:pt idx="37">
                  <c:v>0</c:v>
                </c:pt>
                <c:pt idx="38">
                  <c:v>192.39472171606195</c:v>
                </c:pt>
                <c:pt idx="39">
                  <c:v>0</c:v>
                </c:pt>
                <c:pt idx="40">
                  <c:v>93.564101817745581</c:v>
                </c:pt>
                <c:pt idx="41">
                  <c:v>87.835043937337971</c:v>
                </c:pt>
                <c:pt idx="42">
                  <c:v>93.86218117876264</c:v>
                </c:pt>
                <c:pt idx="43">
                  <c:v>109.60702613011202</c:v>
                </c:pt>
                <c:pt idx="44">
                  <c:v>104.75730419177442</c:v>
                </c:pt>
                <c:pt idx="45">
                  <c:v>0</c:v>
                </c:pt>
                <c:pt idx="46">
                  <c:v>81.738506972163449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68995456"/>
        <c:axId val="169001728"/>
      </c:scatterChart>
      <c:valAx>
        <c:axId val="1689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.00" sourceLinked="1"/>
        <c:tickLblPos val="nextTo"/>
        <c:crossAx val="169001728"/>
        <c:crosses val="autoZero"/>
        <c:crossBetween val="midCat"/>
      </c:valAx>
      <c:valAx>
        <c:axId val="16900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crossAx val="1689954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deltaP_dissolved_dilution_eq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VFS_datapoints!$FU$3</c:f>
              <c:strCache>
                <c:ptCount val="1"/>
                <c:pt idx="0">
                  <c:v>deltaP_diss_dilut_eq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233766477847608"/>
                  <c:y val="-8.1397613697782908E-2"/>
                </c:manualLayout>
              </c:layout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VFS_datapoints!$FU$68:$FU$114</c:f>
              <c:numCache>
                <c:formatCode>General</c:formatCode>
                <c:ptCount val="47"/>
                <c:pt idx="0">
                  <c:v>81.259818754931786</c:v>
                </c:pt>
                <c:pt idx="1">
                  <c:v>80.756149374262634</c:v>
                </c:pt>
                <c:pt idx="2">
                  <c:v>62.140008712193648</c:v>
                </c:pt>
                <c:pt idx="3">
                  <c:v>56.504079248544578</c:v>
                </c:pt>
                <c:pt idx="4">
                  <c:v>60.19011968426706</c:v>
                </c:pt>
                <c:pt idx="5">
                  <c:v>59.623347539877599</c:v>
                </c:pt>
                <c:pt idx="6">
                  <c:v>74.851986504665064</c:v>
                </c:pt>
                <c:pt idx="7">
                  <c:v>74.912641018380384</c:v>
                </c:pt>
                <c:pt idx="8">
                  <c:v>72.812497266249295</c:v>
                </c:pt>
                <c:pt idx="9">
                  <c:v>64.246560563758322</c:v>
                </c:pt>
                <c:pt idx="10">
                  <c:v>64.306338788930546</c:v>
                </c:pt>
                <c:pt idx="11">
                  <c:v>62.674611548585759</c:v>
                </c:pt>
                <c:pt idx="12">
                  <c:v>19.126070568676472</c:v>
                </c:pt>
                <c:pt idx="13">
                  <c:v>0</c:v>
                </c:pt>
                <c:pt idx="14">
                  <c:v>16.239769413350814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99.669620870471832</c:v>
                </c:pt>
                <c:pt idx="19">
                  <c:v>34.843759461618987</c:v>
                </c:pt>
                <c:pt idx="20">
                  <c:v>64.688986346880256</c:v>
                </c:pt>
                <c:pt idx="21">
                  <c:v>87.924571741917873</c:v>
                </c:pt>
                <c:pt idx="22">
                  <c:v>0</c:v>
                </c:pt>
                <c:pt idx="23">
                  <c:v>87.357336183690592</c:v>
                </c:pt>
                <c:pt idx="24">
                  <c:v>86.91575671802569</c:v>
                </c:pt>
                <c:pt idx="25">
                  <c:v>94.743070694487713</c:v>
                </c:pt>
                <c:pt idx="26">
                  <c:v>99.76785167445415</c:v>
                </c:pt>
                <c:pt idx="27">
                  <c:v>99.857471835571772</c:v>
                </c:pt>
                <c:pt idx="28">
                  <c:v>0</c:v>
                </c:pt>
                <c:pt idx="29">
                  <c:v>77.676121826746964</c:v>
                </c:pt>
                <c:pt idx="30">
                  <c:v>49.014776026061043</c:v>
                </c:pt>
                <c:pt idx="31">
                  <c:v>5.3459550746529674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97.77593806210993</c:v>
                </c:pt>
                <c:pt idx="36">
                  <c:v>0</c:v>
                </c:pt>
                <c:pt idx="37">
                  <c:v>0</c:v>
                </c:pt>
                <c:pt idx="38">
                  <c:v>63.227396442201858</c:v>
                </c:pt>
                <c:pt idx="39">
                  <c:v>0</c:v>
                </c:pt>
                <c:pt idx="40">
                  <c:v>62.741218975174803</c:v>
                </c:pt>
                <c:pt idx="41">
                  <c:v>37.996749003525487</c:v>
                </c:pt>
                <c:pt idx="42">
                  <c:v>79.236434483425668</c:v>
                </c:pt>
                <c:pt idx="43">
                  <c:v>98.681541412405593</c:v>
                </c:pt>
                <c:pt idx="44">
                  <c:v>98.890955491162359</c:v>
                </c:pt>
                <c:pt idx="45">
                  <c:v>0</c:v>
                </c:pt>
                <c:pt idx="46">
                  <c:v>47.747125394165202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1158528"/>
        <c:axId val="171193472"/>
      </c:scatterChart>
      <c:valAx>
        <c:axId val="1711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.00" sourceLinked="1"/>
        <c:tickLblPos val="nextTo"/>
        <c:crossAx val="171193472"/>
        <c:crosses val="autoZero"/>
        <c:crossBetween val="midCat"/>
      </c:valAx>
      <c:valAx>
        <c:axId val="17119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crossAx val="1711585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37316024880812"/>
          <c:y val="0.47132883222823396"/>
          <c:w val="0.18808761446882571"/>
          <c:h val="0.1336594248306265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deltaP_dissolved_Chen_et_al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VFS_datapoints!$FV$3</c:f>
              <c:strCache>
                <c:ptCount val="1"/>
                <c:pt idx="0">
                  <c:v>deltaP_diss_Chen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319510251692759"/>
                  <c:y val="-0.14720285539882341"/>
                </c:manualLayout>
              </c:layout>
              <c:numFmt formatCode="General" sourceLinked="0"/>
            </c:trendlineLbl>
          </c:trendline>
          <c:xVal>
            <c:numRef>
              <c:f>VFS_datapoints!$FS$68:$FS$114</c:f>
              <c:numCache>
                <c:formatCode>0.00</c:formatCode>
                <c:ptCount val="47"/>
                <c:pt idx="0">
                  <c:v>77.020334755077556</c:v>
                </c:pt>
                <c:pt idx="1">
                  <c:v>77.80005586957499</c:v>
                </c:pt>
                <c:pt idx="2">
                  <c:v>60.00761215657122</c:v>
                </c:pt>
                <c:pt idx="3">
                  <c:v>61.951584234562482</c:v>
                </c:pt>
                <c:pt idx="4">
                  <c:v>47.947407851395759</c:v>
                </c:pt>
                <c:pt idx="5">
                  <c:v>27.517905471757111</c:v>
                </c:pt>
                <c:pt idx="6">
                  <c:v>79.776298296852261</c:v>
                </c:pt>
                <c:pt idx="7">
                  <c:v>83.692726138025463</c:v>
                </c:pt>
                <c:pt idx="8">
                  <c:v>83.333333333333343</c:v>
                </c:pt>
                <c:pt idx="9">
                  <c:v>60.360894287118739</c:v>
                </c:pt>
                <c:pt idx="10">
                  <c:v>73.929491544352004</c:v>
                </c:pt>
                <c:pt idx="11">
                  <c:v>72.375594478598771</c:v>
                </c:pt>
                <c:pt idx="12">
                  <c:v>18.751818120790357</c:v>
                </c:pt>
                <c:pt idx="13">
                  <c:v>0</c:v>
                </c:pt>
                <c:pt idx="14">
                  <c:v>14.018829852622023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99.006556944199971</c:v>
                </c:pt>
                <c:pt idx="19">
                  <c:v>20.974774213640607</c:v>
                </c:pt>
                <c:pt idx="20">
                  <c:v>59.398496240601503</c:v>
                </c:pt>
                <c:pt idx="21">
                  <c:v>67.755928282244071</c:v>
                </c:pt>
                <c:pt idx="22">
                  <c:v>0</c:v>
                </c:pt>
                <c:pt idx="23">
                  <c:v>80.603448275862064</c:v>
                </c:pt>
                <c:pt idx="24">
                  <c:v>76.592432950191579</c:v>
                </c:pt>
                <c:pt idx="25">
                  <c:v>97.398072646404742</c:v>
                </c:pt>
                <c:pt idx="26">
                  <c:v>98.950333580429955</c:v>
                </c:pt>
                <c:pt idx="27">
                  <c:v>99.529528045465781</c:v>
                </c:pt>
                <c:pt idx="28">
                  <c:v>0</c:v>
                </c:pt>
                <c:pt idx="29">
                  <c:v>60.711306842825216</c:v>
                </c:pt>
                <c:pt idx="30">
                  <c:v>8.4656084656084705</c:v>
                </c:pt>
                <c:pt idx="31">
                  <c:v>13.635311973642834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99.671855921855908</c:v>
                </c:pt>
                <c:pt idx="36">
                  <c:v>0</c:v>
                </c:pt>
                <c:pt idx="37">
                  <c:v>0</c:v>
                </c:pt>
                <c:pt idx="38">
                  <c:v>23.576423576423583</c:v>
                </c:pt>
                <c:pt idx="39">
                  <c:v>0</c:v>
                </c:pt>
                <c:pt idx="40">
                  <c:v>76.308539944903586</c:v>
                </c:pt>
                <c:pt idx="41">
                  <c:v>69.243572084481187</c:v>
                </c:pt>
                <c:pt idx="42">
                  <c:v>78.013653380312718</c:v>
                </c:pt>
                <c:pt idx="43">
                  <c:v>98.853116053732663</c:v>
                </c:pt>
                <c:pt idx="44">
                  <c:v>99.453277545327765</c:v>
                </c:pt>
                <c:pt idx="45">
                  <c:v>0</c:v>
                </c:pt>
                <c:pt idx="46">
                  <c:v>47.749338040600172</c:v>
                </c:pt>
              </c:numCache>
            </c:numRef>
          </c:xVal>
          <c:yVal>
            <c:numRef>
              <c:f>VFS_datapoints!$FV$68:$FV$114</c:f>
              <c:numCache>
                <c:formatCode>General</c:formatCode>
                <c:ptCount val="47"/>
                <c:pt idx="0">
                  <c:v>83.750626252419664</c:v>
                </c:pt>
                <c:pt idx="1">
                  <c:v>82.712535563925073</c:v>
                </c:pt>
                <c:pt idx="2">
                  <c:v>79.816111064640779</c:v>
                </c:pt>
                <c:pt idx="3">
                  <c:v>76.748397042607735</c:v>
                </c:pt>
                <c:pt idx="4">
                  <c:v>75.162075147191089</c:v>
                </c:pt>
                <c:pt idx="5">
                  <c:v>73.668132764800262</c:v>
                </c:pt>
                <c:pt idx="6">
                  <c:v>74.192218401417804</c:v>
                </c:pt>
                <c:pt idx="7">
                  <c:v>74.672755295418057</c:v>
                </c:pt>
                <c:pt idx="8">
                  <c:v>58.034314167366119</c:v>
                </c:pt>
                <c:pt idx="9">
                  <c:v>72.219799708006221</c:v>
                </c:pt>
                <c:pt idx="10">
                  <c:v>72.517504151164005</c:v>
                </c:pt>
                <c:pt idx="11">
                  <c:v>64.391260053538772</c:v>
                </c:pt>
                <c:pt idx="12">
                  <c:v>71.825991604766145</c:v>
                </c:pt>
                <c:pt idx="13">
                  <c:v>0</c:v>
                </c:pt>
                <c:pt idx="14">
                  <c:v>67.107163057622955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81.2206228574167</c:v>
                </c:pt>
                <c:pt idx="19">
                  <c:v>75.176924815270979</c:v>
                </c:pt>
                <c:pt idx="20">
                  <c:v>60.381690971169974</c:v>
                </c:pt>
                <c:pt idx="21">
                  <c:v>66.830316240572913</c:v>
                </c:pt>
                <c:pt idx="22">
                  <c:v>0</c:v>
                </c:pt>
                <c:pt idx="23">
                  <c:v>80.476840427196507</c:v>
                </c:pt>
                <c:pt idx="24">
                  <c:v>76.934495801758843</c:v>
                </c:pt>
                <c:pt idx="25">
                  <c:v>84.128413579653682</c:v>
                </c:pt>
                <c:pt idx="26">
                  <c:v>81.964256619545068</c:v>
                </c:pt>
                <c:pt idx="27">
                  <c:v>82.169036057093976</c:v>
                </c:pt>
                <c:pt idx="28">
                  <c:v>0</c:v>
                </c:pt>
                <c:pt idx="29">
                  <c:v>43.238891141843503</c:v>
                </c:pt>
                <c:pt idx="30">
                  <c:v>104.83920955701713</c:v>
                </c:pt>
                <c:pt idx="31">
                  <c:v>93.726924185198143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101.88142365050913</c:v>
                </c:pt>
                <c:pt idx="36">
                  <c:v>0</c:v>
                </c:pt>
                <c:pt idx="37">
                  <c:v>0</c:v>
                </c:pt>
                <c:pt idx="38">
                  <c:v>29.656927480929539</c:v>
                </c:pt>
                <c:pt idx="39">
                  <c:v>0</c:v>
                </c:pt>
                <c:pt idx="40">
                  <c:v>99.840880240486584</c:v>
                </c:pt>
                <c:pt idx="41">
                  <c:v>99.161486714464047</c:v>
                </c:pt>
                <c:pt idx="42">
                  <c:v>100.4943017989111</c:v>
                </c:pt>
                <c:pt idx="43">
                  <c:v>100.44934509817192</c:v>
                </c:pt>
                <c:pt idx="44">
                  <c:v>100.41839461184496</c:v>
                </c:pt>
                <c:pt idx="45">
                  <c:v>0</c:v>
                </c:pt>
                <c:pt idx="46">
                  <c:v>86.134046758128235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171154816"/>
        <c:axId val="176145920"/>
      </c:scatterChart>
      <c:valAx>
        <c:axId val="17115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.00" sourceLinked="1"/>
        <c:tickLblPos val="nextTo"/>
        <c:crossAx val="176145920"/>
        <c:crosses val="autoZero"/>
        <c:crossBetween val="midCat"/>
      </c:valAx>
      <c:valAx>
        <c:axId val="17614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General" sourceLinked="1"/>
        <c:tickLblPos val="nextTo"/>
        <c:crossAx val="171154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deltaP_particle_bound_Sabbagh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VFS_datapoints!$FY$3</c:f>
              <c:strCache>
                <c:ptCount val="1"/>
                <c:pt idx="0">
                  <c:v>deltaP_part_Sabbagh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00352223596502"/>
                  <c:y val="-5.1057655463224466E-2"/>
                </c:manualLayout>
              </c:layout>
              <c:numFmt formatCode="General" sourceLinked="0"/>
            </c:trendlineLbl>
          </c:trendline>
          <c:xVal>
            <c:numRef>
              <c:f>VFS_datapoints!$FX$68:$FX$114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xVal>
          <c:yVal>
            <c:numRef>
              <c:f>VFS_datapoints!$FY$68:$FY$114</c:f>
              <c:numCache>
                <c:formatCode>0.000</c:formatCode>
                <c:ptCount val="47"/>
                <c:pt idx="0">
                  <c:v>95.027203525416923</c:v>
                </c:pt>
                <c:pt idx="1">
                  <c:v>97.855259755072225</c:v>
                </c:pt>
                <c:pt idx="2">
                  <c:v>84.119844215566857</c:v>
                </c:pt>
                <c:pt idx="3">
                  <c:v>86.321699331973718</c:v>
                </c:pt>
                <c:pt idx="4">
                  <c:v>91.384750414044916</c:v>
                </c:pt>
                <c:pt idx="5">
                  <c:v>93.665410710215724</c:v>
                </c:pt>
                <c:pt idx="6">
                  <c:v>95.192556087349246</c:v>
                </c:pt>
                <c:pt idx="7">
                  <c:v>95.603539027171365</c:v>
                </c:pt>
                <c:pt idx="8">
                  <c:v>95.305017784084242</c:v>
                </c:pt>
                <c:pt idx="9">
                  <c:v>82.578248628899274</c:v>
                </c:pt>
                <c:pt idx="10">
                  <c:v>83.449149306776761</c:v>
                </c:pt>
                <c:pt idx="11">
                  <c:v>82.822150168337132</c:v>
                </c:pt>
                <c:pt idx="12">
                  <c:v>19.61962397598451</c:v>
                </c:pt>
                <c:pt idx="13">
                  <c:v>95.226150488436701</c:v>
                </c:pt>
                <c:pt idx="14">
                  <c:v>29.306025506533473</c:v>
                </c:pt>
                <c:pt idx="15">
                  <c:v>86.954588627068105</c:v>
                </c:pt>
                <c:pt idx="16">
                  <c:v>95.863131196719308</c:v>
                </c:pt>
                <c:pt idx="17">
                  <c:v>0</c:v>
                </c:pt>
                <c:pt idx="18">
                  <c:v>99.583339104609252</c:v>
                </c:pt>
                <c:pt idx="19">
                  <c:v>34.493263278802843</c:v>
                </c:pt>
                <c:pt idx="20">
                  <c:v>91.183325781821125</c:v>
                </c:pt>
                <c:pt idx="21">
                  <c:v>99.090309770050183</c:v>
                </c:pt>
                <c:pt idx="22">
                  <c:v>0</c:v>
                </c:pt>
                <c:pt idx="23">
                  <c:v>92.888923280541974</c:v>
                </c:pt>
                <c:pt idx="24">
                  <c:v>96.206118886451847</c:v>
                </c:pt>
                <c:pt idx="25">
                  <c:v>92.333506729314081</c:v>
                </c:pt>
                <c:pt idx="26">
                  <c:v>98.625794517726376</c:v>
                </c:pt>
                <c:pt idx="27">
                  <c:v>97.853505370214108</c:v>
                </c:pt>
                <c:pt idx="28">
                  <c:v>64.579377184755387</c:v>
                </c:pt>
                <c:pt idx="29">
                  <c:v>98.503073007043227</c:v>
                </c:pt>
                <c:pt idx="30">
                  <c:v>95.839405969816653</c:v>
                </c:pt>
                <c:pt idx="31">
                  <c:v>26.007617003605709</c:v>
                </c:pt>
                <c:pt idx="32">
                  <c:v>66.514417364658144</c:v>
                </c:pt>
                <c:pt idx="33">
                  <c:v>85.312777979594372</c:v>
                </c:pt>
                <c:pt idx="34">
                  <c:v>0</c:v>
                </c:pt>
                <c:pt idx="35">
                  <c:v>102.39803469088903</c:v>
                </c:pt>
                <c:pt idx="36">
                  <c:v>47.007546646413147</c:v>
                </c:pt>
                <c:pt idx="37">
                  <c:v>87.28730531897024</c:v>
                </c:pt>
                <c:pt idx="38">
                  <c:v>101.19703994263818</c:v>
                </c:pt>
                <c:pt idx="39">
                  <c:v>0</c:v>
                </c:pt>
                <c:pt idx="40">
                  <c:v>96.929787146368014</c:v>
                </c:pt>
                <c:pt idx="41">
                  <c:v>97.416576155131935</c:v>
                </c:pt>
                <c:pt idx="42">
                  <c:v>96.303662370945545</c:v>
                </c:pt>
                <c:pt idx="43">
                  <c:v>102.08923547911061</c:v>
                </c:pt>
                <c:pt idx="44">
                  <c:v>101.31097478281552</c:v>
                </c:pt>
                <c:pt idx="45">
                  <c:v>45.002436673073717</c:v>
                </c:pt>
                <c:pt idx="46">
                  <c:v>98.175641322291639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217808896"/>
        <c:axId val="217810816"/>
      </c:scatterChart>
      <c:valAx>
        <c:axId val="217808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.000" sourceLinked="1"/>
        <c:tickLblPos val="nextTo"/>
        <c:crossAx val="217810816"/>
        <c:crosses val="autoZero"/>
        <c:crossBetween val="midCat"/>
      </c:valAx>
      <c:valAx>
        <c:axId val="217810816"/>
        <c:scaling>
          <c:orientation val="minMax"/>
          <c:max val="140"/>
          <c:min val="-18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0.000" sourceLinked="1"/>
        <c:tickLblPos val="nextTo"/>
        <c:crossAx val="217808896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deltaP_particle_bound_dilution_eq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VFS_datapoints!$FZ$3</c:f>
              <c:strCache>
                <c:ptCount val="1"/>
                <c:pt idx="0">
                  <c:v>deltaP_part_dilut_eq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852882685492686"/>
                  <c:y val="-7.2265163487426537E-2"/>
                </c:manualLayout>
              </c:layout>
              <c:numFmt formatCode="General" sourceLinked="0"/>
            </c:trendlineLbl>
          </c:trendline>
          <c:xVal>
            <c:numRef>
              <c:f>VFS_datapoints!$FX$68:$FX$114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xVal>
          <c:yVal>
            <c:numRef>
              <c:f>VFS_datapoints!$FZ$68:$FZ$114</c:f>
              <c:numCache>
                <c:formatCode>0.000</c:formatCode>
                <c:ptCount val="47"/>
                <c:pt idx="0">
                  <c:v>93.769679968411296</c:v>
                </c:pt>
                <c:pt idx="1">
                  <c:v>93.602231137973391</c:v>
                </c:pt>
                <c:pt idx="2">
                  <c:v>83.038535313204548</c:v>
                </c:pt>
                <c:pt idx="3">
                  <c:v>80.513610839549372</c:v>
                </c:pt>
                <c:pt idx="4">
                  <c:v>88.237521491903109</c:v>
                </c:pt>
                <c:pt idx="5">
                  <c:v>88.070059416797747</c:v>
                </c:pt>
                <c:pt idx="6">
                  <c:v>93.467831796700722</c:v>
                </c:pt>
                <c:pt idx="7">
                  <c:v>93.483586738376388</c:v>
                </c:pt>
                <c:pt idx="8">
                  <c:v>92.93807676230719</c:v>
                </c:pt>
                <c:pt idx="9">
                  <c:v>79.787309361337861</c:v>
                </c:pt>
                <c:pt idx="10">
                  <c:v>79.821104117629446</c:v>
                </c:pt>
                <c:pt idx="11">
                  <c:v>78.898630687497445</c:v>
                </c:pt>
                <c:pt idx="12">
                  <c:v>20.580673974642316</c:v>
                </c:pt>
                <c:pt idx="13">
                  <c:v>95.765481771960623</c:v>
                </c:pt>
                <c:pt idx="14">
                  <c:v>17.746286007172117</c:v>
                </c:pt>
                <c:pt idx="15">
                  <c:v>85.968292939387979</c:v>
                </c:pt>
                <c:pt idx="16">
                  <c:v>95.490184148101591</c:v>
                </c:pt>
                <c:pt idx="17">
                  <c:v>0</c:v>
                </c:pt>
                <c:pt idx="18">
                  <c:v>99.985845284869114</c:v>
                </c:pt>
                <c:pt idx="19">
                  <c:v>47.821142704434308</c:v>
                </c:pt>
                <c:pt idx="20">
                  <c:v>92.918352161338476</c:v>
                </c:pt>
                <c:pt idx="21">
                  <c:v>99.127058500242754</c:v>
                </c:pt>
                <c:pt idx="22">
                  <c:v>0</c:v>
                </c:pt>
                <c:pt idx="23">
                  <c:v>95.587929927727671</c:v>
                </c:pt>
                <c:pt idx="24">
                  <c:v>97.967276909478585</c:v>
                </c:pt>
                <c:pt idx="25">
                  <c:v>97.257254275384881</c:v>
                </c:pt>
                <c:pt idx="26">
                  <c:v>99.956261909679782</c:v>
                </c:pt>
                <c:pt idx="27">
                  <c:v>99.965972507327876</c:v>
                </c:pt>
                <c:pt idx="28">
                  <c:v>50.99130361420854</c:v>
                </c:pt>
                <c:pt idx="29">
                  <c:v>97.769801143674414</c:v>
                </c:pt>
                <c:pt idx="30">
                  <c:v>91.752390239509879</c:v>
                </c:pt>
                <c:pt idx="31">
                  <c:v>7.0484084747167026</c:v>
                </c:pt>
                <c:pt idx="32">
                  <c:v>78.736921239115034</c:v>
                </c:pt>
                <c:pt idx="33">
                  <c:v>90.933502395750651</c:v>
                </c:pt>
                <c:pt idx="34">
                  <c:v>0</c:v>
                </c:pt>
                <c:pt idx="35">
                  <c:v>99.904712615445078</c:v>
                </c:pt>
                <c:pt idx="36">
                  <c:v>31.448450516367828</c:v>
                </c:pt>
                <c:pt idx="37">
                  <c:v>86.295295535534251</c:v>
                </c:pt>
                <c:pt idx="38">
                  <c:v>97.341681718142098</c:v>
                </c:pt>
                <c:pt idx="39">
                  <c:v>0</c:v>
                </c:pt>
                <c:pt idx="40">
                  <c:v>86.997332597192496</c:v>
                </c:pt>
                <c:pt idx="41">
                  <c:v>90.367387912943869</c:v>
                </c:pt>
                <c:pt idx="42">
                  <c:v>89.16683538265687</c:v>
                </c:pt>
                <c:pt idx="43">
                  <c:v>99.751594758859028</c:v>
                </c:pt>
                <c:pt idx="44">
                  <c:v>99.735224234109026</c:v>
                </c:pt>
                <c:pt idx="45">
                  <c:v>31.194693669237221</c:v>
                </c:pt>
                <c:pt idx="46">
                  <c:v>94.779836178944905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5187328"/>
        <c:axId val="95189248"/>
      </c:scatterChart>
      <c:valAx>
        <c:axId val="9518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  <c:layout/>
        </c:title>
        <c:numFmt formatCode="0.000" sourceLinked="1"/>
        <c:tickLblPos val="nextTo"/>
        <c:crossAx val="95189248"/>
        <c:crosses val="autoZero"/>
        <c:crossBetween val="midCat"/>
      </c:valAx>
      <c:valAx>
        <c:axId val="9518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  <c:layout/>
        </c:title>
        <c:numFmt formatCode="0.000" sourceLinked="1"/>
        <c:tickLblPos val="nextTo"/>
        <c:crossAx val="95187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de-DE"/>
              <a:t>deltaP_particle_bound_Chen_et_al</a:t>
            </a:r>
          </a:p>
        </c:rich>
      </c:tx>
    </c:title>
    <c:plotArea>
      <c:layout>
        <c:manualLayout>
          <c:layoutTarget val="inner"/>
          <c:xMode val="edge"/>
          <c:yMode val="edge"/>
          <c:x val="0.13884951881014873"/>
          <c:y val="0.21795166229221349"/>
          <c:w val="0.67395669291338811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VFS_datapoints!$GA$3</c:f>
              <c:strCache>
                <c:ptCount val="1"/>
                <c:pt idx="0">
                  <c:v>deltaP_part_Chen</c:v>
                </c:pt>
              </c:strCache>
            </c:strRef>
          </c:tx>
          <c:spPr>
            <a:ln w="254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110478397169571"/>
                  <c:y val="-6.8595681904562514E-2"/>
                </c:manualLayout>
              </c:layout>
              <c:numFmt formatCode="General" sourceLinked="0"/>
            </c:trendlineLbl>
          </c:trendline>
          <c:xVal>
            <c:numRef>
              <c:f>VFS_datapoints!$FX$68:$FX$114</c:f>
              <c:numCache>
                <c:formatCode>0.000</c:formatCode>
                <c:ptCount val="47"/>
                <c:pt idx="0">
                  <c:v>92.360230308214284</c:v>
                </c:pt>
                <c:pt idx="1">
                  <c:v>92.619454699653119</c:v>
                </c:pt>
                <c:pt idx="2">
                  <c:v>82.083211034297932</c:v>
                </c:pt>
                <c:pt idx="3">
                  <c:v>82.954120208637477</c:v>
                </c:pt>
                <c:pt idx="4">
                  <c:v>84.620212580827044</c:v>
                </c:pt>
                <c:pt idx="5">
                  <c:v>78.583982861828233</c:v>
                </c:pt>
                <c:pt idx="6">
                  <c:v>80.726410934744266</c:v>
                </c:pt>
                <c:pt idx="7">
                  <c:v>93.954362042576875</c:v>
                </c:pt>
                <c:pt idx="8">
                  <c:v>94.041450777202073</c:v>
                </c:pt>
                <c:pt idx="9">
                  <c:v>90.01082986104737</c:v>
                </c:pt>
                <c:pt idx="10">
                  <c:v>80.505548990987236</c:v>
                </c:pt>
                <c:pt idx="11">
                  <c:v>78.032786885245912</c:v>
                </c:pt>
                <c:pt idx="12">
                  <c:v>31.793062088915331</c:v>
                </c:pt>
                <c:pt idx="13">
                  <c:v>97.564967648464901</c:v>
                </c:pt>
                <c:pt idx="14">
                  <c:v>11.024923942911991</c:v>
                </c:pt>
                <c:pt idx="15">
                  <c:v>90.375428834342571</c:v>
                </c:pt>
                <c:pt idx="16">
                  <c:v>95.055011224574869</c:v>
                </c:pt>
                <c:pt idx="17">
                  <c:v>0</c:v>
                </c:pt>
                <c:pt idx="18">
                  <c:v>99.953788819875783</c:v>
                </c:pt>
                <c:pt idx="19">
                  <c:v>46.905921917778677</c:v>
                </c:pt>
                <c:pt idx="20">
                  <c:v>88.324584474098359</c:v>
                </c:pt>
                <c:pt idx="21">
                  <c:v>92.227482915472009</c:v>
                </c:pt>
                <c:pt idx="22">
                  <c:v>0</c:v>
                </c:pt>
                <c:pt idx="23">
                  <c:v>91.198902964607541</c:v>
                </c:pt>
                <c:pt idx="24">
                  <c:v>88.899046624004185</c:v>
                </c:pt>
                <c:pt idx="25">
                  <c:v>92.24844720496894</c:v>
                </c:pt>
                <c:pt idx="26">
                  <c:v>99.782412553121929</c:v>
                </c:pt>
                <c:pt idx="27">
                  <c:v>99.812356979405024</c:v>
                </c:pt>
                <c:pt idx="28">
                  <c:v>48.720398074390694</c:v>
                </c:pt>
                <c:pt idx="29">
                  <c:v>91.723333980959794</c:v>
                </c:pt>
                <c:pt idx="30">
                  <c:v>96.57525172231054</c:v>
                </c:pt>
                <c:pt idx="31">
                  <c:v>5.355051751820592</c:v>
                </c:pt>
                <c:pt idx="32">
                  <c:v>84.694871540850571</c:v>
                </c:pt>
                <c:pt idx="33">
                  <c:v>92.890003396802086</c:v>
                </c:pt>
                <c:pt idx="34">
                  <c:v>0</c:v>
                </c:pt>
                <c:pt idx="35">
                  <c:v>99.955413022351806</c:v>
                </c:pt>
                <c:pt idx="36">
                  <c:v>44.121399041744382</c:v>
                </c:pt>
                <c:pt idx="37">
                  <c:v>86.199362305756097</c:v>
                </c:pt>
                <c:pt idx="38">
                  <c:v>91.223275839902172</c:v>
                </c:pt>
                <c:pt idx="39">
                  <c:v>0</c:v>
                </c:pt>
                <c:pt idx="40">
                  <c:v>87.840030182984336</c:v>
                </c:pt>
                <c:pt idx="41">
                  <c:v>85.126173581182073</c:v>
                </c:pt>
                <c:pt idx="42">
                  <c:v>90.807780320366135</c:v>
                </c:pt>
                <c:pt idx="43">
                  <c:v>99.756064073226554</c:v>
                </c:pt>
                <c:pt idx="44">
                  <c:v>99.736127002288328</c:v>
                </c:pt>
                <c:pt idx="45">
                  <c:v>31.085783837529572</c:v>
                </c:pt>
                <c:pt idx="46">
                  <c:v>89.228162607572671</c:v>
                </c:pt>
              </c:numCache>
            </c:numRef>
          </c:xVal>
          <c:yVal>
            <c:numRef>
              <c:f>VFS_datapoints!$GA$68:$GA$114</c:f>
              <c:numCache>
                <c:formatCode>0.000</c:formatCode>
                <c:ptCount val="47"/>
                <c:pt idx="0">
                  <c:v>94.597768429429465</c:v>
                </c:pt>
                <c:pt idx="1">
                  <c:v>94.252647049515602</c:v>
                </c:pt>
                <c:pt idx="2">
                  <c:v>90.957517216081399</c:v>
                </c:pt>
                <c:pt idx="3">
                  <c:v>89.583166053178218</c:v>
                </c:pt>
                <c:pt idx="4">
                  <c:v>92.661229952217923</c:v>
                </c:pt>
                <c:pt idx="5">
                  <c:v>92.219820306525961</c:v>
                </c:pt>
                <c:pt idx="6">
                  <c:v>93.296457774399428</c:v>
                </c:pt>
                <c:pt idx="7">
                  <c:v>93.421276691809467</c:v>
                </c:pt>
                <c:pt idx="8">
                  <c:v>89.09946033405663</c:v>
                </c:pt>
                <c:pt idx="9">
                  <c:v>84.294864963034527</c:v>
                </c:pt>
                <c:pt idx="10">
                  <c:v>84.463167870564149</c:v>
                </c:pt>
                <c:pt idx="11">
                  <c:v>79.869113128153629</c:v>
                </c:pt>
                <c:pt idx="12">
                  <c:v>72.332731030679881</c:v>
                </c:pt>
                <c:pt idx="13">
                  <c:v>94.049026605255179</c:v>
                </c:pt>
                <c:pt idx="14">
                  <c:v>74.915952853421146</c:v>
                </c:pt>
                <c:pt idx="15">
                  <c:v>86.064349726732758</c:v>
                </c:pt>
                <c:pt idx="16">
                  <c:v>94.304118382892014</c:v>
                </c:pt>
                <c:pt idx="17">
                  <c:v>0</c:v>
                </c:pt>
                <c:pt idx="18">
                  <c:v>98.1160341856435</c:v>
                </c:pt>
                <c:pt idx="19">
                  <c:v>70.378790429314492</c:v>
                </c:pt>
                <c:pt idx="20">
                  <c:v>88.160626090518122</c:v>
                </c:pt>
                <c:pt idx="21">
                  <c:v>96.427003511193845</c:v>
                </c:pt>
                <c:pt idx="22">
                  <c:v>0</c:v>
                </c:pt>
                <c:pt idx="23">
                  <c:v>89.747305807798583</c:v>
                </c:pt>
                <c:pt idx="24">
                  <c:v>94.607667661560569</c:v>
                </c:pt>
                <c:pt idx="25">
                  <c:v>91.719172302428049</c:v>
                </c:pt>
                <c:pt idx="26">
                  <c:v>96.601961392088214</c:v>
                </c:pt>
                <c:pt idx="27">
                  <c:v>95.742995797792247</c:v>
                </c:pt>
                <c:pt idx="28">
                  <c:v>84.675538928507038</c:v>
                </c:pt>
                <c:pt idx="29">
                  <c:v>96.61065124481685</c:v>
                </c:pt>
                <c:pt idx="30">
                  <c:v>100.25749172473992</c:v>
                </c:pt>
                <c:pt idx="31">
                  <c:v>92.925219893550931</c:v>
                </c:pt>
                <c:pt idx="32">
                  <c:v>84.483422428598615</c:v>
                </c:pt>
                <c:pt idx="33">
                  <c:v>93.097692021622876</c:v>
                </c:pt>
                <c:pt idx="34">
                  <c:v>0</c:v>
                </c:pt>
                <c:pt idx="35">
                  <c:v>100.05338934328194</c:v>
                </c:pt>
                <c:pt idx="36">
                  <c:v>94.211704607155539</c:v>
                </c:pt>
                <c:pt idx="37">
                  <c:v>95.663301498968252</c:v>
                </c:pt>
                <c:pt idx="38">
                  <c:v>99.088655001830233</c:v>
                </c:pt>
                <c:pt idx="39">
                  <c:v>0</c:v>
                </c:pt>
                <c:pt idx="40">
                  <c:v>99.924092719137164</c:v>
                </c:pt>
                <c:pt idx="41">
                  <c:v>99.8219282334491</c:v>
                </c:pt>
                <c:pt idx="42">
                  <c:v>100.29768007050038</c:v>
                </c:pt>
                <c:pt idx="43">
                  <c:v>100.09771886833146</c:v>
                </c:pt>
                <c:pt idx="44">
                  <c:v>100.11529739602167</c:v>
                </c:pt>
                <c:pt idx="45">
                  <c:v>94.122483736480959</c:v>
                </c:pt>
                <c:pt idx="46">
                  <c:v>98.614764297587982</c:v>
                </c:pt>
              </c:numCache>
            </c:numRef>
          </c:yVal>
        </c:ser>
        <c:ser>
          <c:idx val="1"/>
          <c:order val="1"/>
          <c:tx>
            <c:strRef>
              <c:f>VFS_datapoints!$GU$3</c:f>
              <c:strCache>
                <c:ptCount val="1"/>
                <c:pt idx="0">
                  <c:v>1:1 line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VFS_datapoints!$GU$4:$GU$5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xVal>
          <c:yVal>
            <c:numRef>
              <c:f>VFS_datapoints!$GV$4:$GV$5</c:f>
              <c:numCache>
                <c:formatCode>General</c:formatCode>
                <c:ptCount val="2"/>
                <c:pt idx="0">
                  <c:v>0</c:v>
                </c:pt>
                <c:pt idx="1">
                  <c:v>105</c:v>
                </c:pt>
              </c:numCache>
            </c:numRef>
          </c:yVal>
        </c:ser>
        <c:axId val="95216384"/>
        <c:axId val="95218304"/>
      </c:scatterChart>
      <c:valAx>
        <c:axId val="9521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deltaP measured (%)</a:t>
                </a:r>
              </a:p>
            </c:rich>
          </c:tx>
        </c:title>
        <c:numFmt formatCode="0.000" sourceLinked="1"/>
        <c:tickLblPos val="nextTo"/>
        <c:crossAx val="95218304"/>
        <c:crosses val="autoZero"/>
        <c:crossBetween val="midCat"/>
      </c:valAx>
      <c:valAx>
        <c:axId val="95218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deltaP predicted (%)</a:t>
                </a:r>
              </a:p>
            </c:rich>
          </c:tx>
        </c:title>
        <c:numFmt formatCode="0.000" sourceLinked="1"/>
        <c:tickLblPos val="nextTo"/>
        <c:crossAx val="952163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194</xdr:col>
      <xdr:colOff>2602</xdr:colOff>
      <xdr:row>7</xdr:row>
      <xdr:rowOff>26932</xdr:rowOff>
    </xdr:from>
    <xdr:to>
      <xdr:col>209</xdr:col>
      <xdr:colOff>585106</xdr:colOff>
      <xdr:row>34</xdr:row>
      <xdr:rowOff>163286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215</xdr:col>
      <xdr:colOff>598715</xdr:colOff>
      <xdr:row>7</xdr:row>
      <xdr:rowOff>176893</xdr:rowOff>
    </xdr:from>
    <xdr:to>
      <xdr:col>232</xdr:col>
      <xdr:colOff>54428</xdr:colOff>
      <xdr:row>34</xdr:row>
      <xdr:rowOff>187979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233</xdr:col>
      <xdr:colOff>122466</xdr:colOff>
      <xdr:row>9</xdr:row>
      <xdr:rowOff>122466</xdr:rowOff>
    </xdr:from>
    <xdr:to>
      <xdr:col>249</xdr:col>
      <xdr:colOff>1</xdr:colOff>
      <xdr:row>36</xdr:row>
      <xdr:rowOff>127949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250</xdr:col>
      <xdr:colOff>266700</xdr:colOff>
      <xdr:row>13</xdr:row>
      <xdr:rowOff>38100</xdr:rowOff>
    </xdr:from>
    <xdr:to>
      <xdr:col>267</xdr:col>
      <xdr:colOff>161085</xdr:colOff>
      <xdr:row>40</xdr:row>
      <xdr:rowOff>29976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266</xdr:col>
      <xdr:colOff>457200</xdr:colOff>
      <xdr:row>15</xdr:row>
      <xdr:rowOff>76200</xdr:rowOff>
    </xdr:from>
    <xdr:to>
      <xdr:col>283</xdr:col>
      <xdr:colOff>53508</xdr:colOff>
      <xdr:row>42</xdr:row>
      <xdr:rowOff>73679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284</xdr:col>
      <xdr:colOff>342900</xdr:colOff>
      <xdr:row>14</xdr:row>
      <xdr:rowOff>76200</xdr:rowOff>
    </xdr:from>
    <xdr:to>
      <xdr:col>301</xdr:col>
      <xdr:colOff>237285</xdr:colOff>
      <xdr:row>41</xdr:row>
      <xdr:rowOff>68076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304</xdr:col>
      <xdr:colOff>228600</xdr:colOff>
      <xdr:row>12</xdr:row>
      <xdr:rowOff>0</xdr:rowOff>
    </xdr:from>
    <xdr:to>
      <xdr:col>321</xdr:col>
      <xdr:colOff>122985</xdr:colOff>
      <xdr:row>38</xdr:row>
      <xdr:rowOff>182376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323</xdr:col>
      <xdr:colOff>76200</xdr:colOff>
      <xdr:row>11</xdr:row>
      <xdr:rowOff>76200</xdr:rowOff>
    </xdr:from>
    <xdr:to>
      <xdr:col>339</xdr:col>
      <xdr:colOff>282108</xdr:colOff>
      <xdr:row>38</xdr:row>
      <xdr:rowOff>73679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339</xdr:col>
      <xdr:colOff>114300</xdr:colOff>
      <xdr:row>11</xdr:row>
      <xdr:rowOff>114300</xdr:rowOff>
    </xdr:from>
    <xdr:to>
      <xdr:col>356</xdr:col>
      <xdr:colOff>8685</xdr:colOff>
      <xdr:row>38</xdr:row>
      <xdr:rowOff>106176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254</xdr:col>
      <xdr:colOff>547009</xdr:colOff>
      <xdr:row>42</xdr:row>
      <xdr:rowOff>24493</xdr:rowOff>
    </xdr:from>
    <xdr:to>
      <xdr:col>271</xdr:col>
      <xdr:colOff>441393</xdr:colOff>
      <xdr:row>67</xdr:row>
      <xdr:rowOff>176893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268</xdr:col>
      <xdr:colOff>0</xdr:colOff>
      <xdr:row>41</xdr:row>
      <xdr:rowOff>152400</xdr:rowOff>
    </xdr:from>
    <xdr:to>
      <xdr:col>284</xdr:col>
      <xdr:colOff>205908</xdr:colOff>
      <xdr:row>67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286</xdr:col>
      <xdr:colOff>114300</xdr:colOff>
      <xdr:row>42</xdr:row>
      <xdr:rowOff>38100</xdr:rowOff>
    </xdr:from>
    <xdr:to>
      <xdr:col>303</xdr:col>
      <xdr:colOff>8685</xdr:colOff>
      <xdr:row>67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305</xdr:col>
      <xdr:colOff>152400</xdr:colOff>
      <xdr:row>40</xdr:row>
      <xdr:rowOff>114300</xdr:rowOff>
    </xdr:from>
    <xdr:to>
      <xdr:col>322</xdr:col>
      <xdr:colOff>46785</xdr:colOff>
      <xdr:row>67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323</xdr:col>
      <xdr:colOff>457200</xdr:colOff>
      <xdr:row>40</xdr:row>
      <xdr:rowOff>114300</xdr:rowOff>
    </xdr:from>
    <xdr:to>
      <xdr:col>340</xdr:col>
      <xdr:colOff>53508</xdr:colOff>
      <xdr:row>67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194</xdr:col>
      <xdr:colOff>299358</xdr:colOff>
      <xdr:row>36</xdr:row>
      <xdr:rowOff>40821</xdr:rowOff>
    </xdr:from>
    <xdr:to>
      <xdr:col>218</xdr:col>
      <xdr:colOff>188298</xdr:colOff>
      <xdr:row>63</xdr:row>
      <xdr:rowOff>46304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191</xdr:col>
      <xdr:colOff>0</xdr:colOff>
      <xdr:row>167</xdr:row>
      <xdr:rowOff>0</xdr:rowOff>
    </xdr:from>
    <xdr:to>
      <xdr:col>207</xdr:col>
      <xdr:colOff>13608</xdr:colOff>
      <xdr:row>195</xdr:row>
      <xdr:rowOff>163286</xdr:rowOff>
    </xdr:to>
    <xdr:graphicFrame macro="">
      <xdr:nvGraphicFramePr>
        <xdr:cNvPr id="2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214</xdr:col>
      <xdr:colOff>0</xdr:colOff>
      <xdr:row>172</xdr:row>
      <xdr:rowOff>0</xdr:rowOff>
    </xdr:from>
    <xdr:to>
      <xdr:col>230</xdr:col>
      <xdr:colOff>13608</xdr:colOff>
      <xdr:row>200</xdr:row>
      <xdr:rowOff>163286</xdr:rowOff>
    </xdr:to>
    <xdr:graphicFrame macro="">
      <xdr:nvGraphicFramePr>
        <xdr:cNvPr id="2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235</xdr:col>
      <xdr:colOff>0</xdr:colOff>
      <xdr:row>171</xdr:row>
      <xdr:rowOff>0</xdr:rowOff>
    </xdr:from>
    <xdr:to>
      <xdr:col>251</xdr:col>
      <xdr:colOff>13608</xdr:colOff>
      <xdr:row>199</xdr:row>
      <xdr:rowOff>163286</xdr:rowOff>
    </xdr:to>
    <xdr:graphicFrame macro="">
      <xdr:nvGraphicFramePr>
        <xdr:cNvPr id="2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255</xdr:col>
      <xdr:colOff>0</xdr:colOff>
      <xdr:row>176</xdr:row>
      <xdr:rowOff>0</xdr:rowOff>
    </xdr:from>
    <xdr:to>
      <xdr:col>271</xdr:col>
      <xdr:colOff>13608</xdr:colOff>
      <xdr:row>204</xdr:row>
      <xdr:rowOff>163286</xdr:rowOff>
    </xdr:to>
    <xdr:graphicFrame macro="">
      <xdr:nvGraphicFramePr>
        <xdr:cNvPr id="2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193</xdr:col>
      <xdr:colOff>0</xdr:colOff>
      <xdr:row>212</xdr:row>
      <xdr:rowOff>0</xdr:rowOff>
    </xdr:from>
    <xdr:to>
      <xdr:col>209</xdr:col>
      <xdr:colOff>13608</xdr:colOff>
      <xdr:row>240</xdr:row>
      <xdr:rowOff>149678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216</xdr:col>
      <xdr:colOff>0</xdr:colOff>
      <xdr:row>211</xdr:row>
      <xdr:rowOff>0</xdr:rowOff>
    </xdr:from>
    <xdr:to>
      <xdr:col>232</xdr:col>
      <xdr:colOff>13608</xdr:colOff>
      <xdr:row>239</xdr:row>
      <xdr:rowOff>149678</xdr:rowOff>
    </xdr:to>
    <xdr:graphicFrame macro="">
      <xdr:nvGraphicFramePr>
        <xdr:cNvPr id="2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235</xdr:col>
      <xdr:colOff>0</xdr:colOff>
      <xdr:row>212</xdr:row>
      <xdr:rowOff>0</xdr:rowOff>
    </xdr:from>
    <xdr:to>
      <xdr:col>251</xdr:col>
      <xdr:colOff>13608</xdr:colOff>
      <xdr:row>240</xdr:row>
      <xdr:rowOff>149678</xdr:rowOff>
    </xdr:to>
    <xdr:graphicFrame macro="">
      <xdr:nvGraphicFramePr>
        <xdr:cNvPr id="30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257</xdr:col>
      <xdr:colOff>0</xdr:colOff>
      <xdr:row>215</xdr:row>
      <xdr:rowOff>0</xdr:rowOff>
    </xdr:from>
    <xdr:to>
      <xdr:col>273</xdr:col>
      <xdr:colOff>13608</xdr:colOff>
      <xdr:row>243</xdr:row>
      <xdr:rowOff>149678</xdr:rowOff>
    </xdr:to>
    <xdr:graphicFrame macro="">
      <xdr:nvGraphicFramePr>
        <xdr:cNvPr id="3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219</xdr:col>
      <xdr:colOff>367393</xdr:colOff>
      <xdr:row>38</xdr:row>
      <xdr:rowOff>68036</xdr:rowOff>
    </xdr:from>
    <xdr:to>
      <xdr:col>235</xdr:col>
      <xdr:colOff>435429</xdr:colOff>
      <xdr:row>65</xdr:row>
      <xdr:rowOff>79122</xdr:rowOff>
    </xdr:to>
    <xdr:graphicFrame macro="">
      <xdr:nvGraphicFramePr>
        <xdr:cNvPr id="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235</xdr:col>
      <xdr:colOff>598717</xdr:colOff>
      <xdr:row>40</xdr:row>
      <xdr:rowOff>40822</xdr:rowOff>
    </xdr:from>
    <xdr:to>
      <xdr:col>251</xdr:col>
      <xdr:colOff>557894</xdr:colOff>
      <xdr:row>67</xdr:row>
      <xdr:rowOff>163286</xdr:rowOff>
    </xdr:to>
    <xdr:graphicFrame macro="">
      <xdr:nvGraphicFramePr>
        <xdr:cNvPr id="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220</xdr:col>
      <xdr:colOff>0</xdr:colOff>
      <xdr:row>95</xdr:row>
      <xdr:rowOff>0</xdr:rowOff>
    </xdr:from>
    <xdr:to>
      <xdr:col>236</xdr:col>
      <xdr:colOff>68036</xdr:colOff>
      <xdr:row>122</xdr:row>
      <xdr:rowOff>11086</xdr:rowOff>
    </xdr:to>
    <xdr:graphicFrame macro="">
      <xdr:nvGraphicFramePr>
        <xdr:cNvPr id="3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237</xdr:col>
      <xdr:colOff>13607</xdr:colOff>
      <xdr:row>94</xdr:row>
      <xdr:rowOff>176894</xdr:rowOff>
    </xdr:from>
    <xdr:to>
      <xdr:col>253</xdr:col>
      <xdr:colOff>81642</xdr:colOff>
      <xdr:row>121</xdr:row>
      <xdr:rowOff>187980</xdr:rowOff>
    </xdr:to>
    <xdr:graphicFrame macro="">
      <xdr:nvGraphicFramePr>
        <xdr:cNvPr id="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220</xdr:col>
      <xdr:colOff>0</xdr:colOff>
      <xdr:row>125</xdr:row>
      <xdr:rowOff>0</xdr:rowOff>
    </xdr:from>
    <xdr:to>
      <xdr:col>235</xdr:col>
      <xdr:colOff>489857</xdr:colOff>
      <xdr:row>152</xdr:row>
      <xdr:rowOff>5483</xdr:rowOff>
    </xdr:to>
    <xdr:graphicFrame macro="">
      <xdr:nvGraphicFramePr>
        <xdr:cNvPr id="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19"/>
  <sheetViews>
    <sheetView tabSelected="1" topLeftCell="DX2" zoomScale="70" zoomScaleNormal="70" workbookViewId="0">
      <pane xSplit="5580" ySplit="2790" topLeftCell="CW59" activePane="bottomRight"/>
      <selection activeCell="DR3" sqref="DR3"/>
      <selection pane="topRight" activeCell="FM6" sqref="FM6"/>
      <selection pane="bottomLeft" activeCell="DY68" sqref="DY68"/>
      <selection pane="bottomRight" activeCell="DJ60" sqref="DJ60"/>
    </sheetView>
  </sheetViews>
  <sheetFormatPr baseColWidth="10" defaultColWidth="9.140625" defaultRowHeight="15"/>
  <cols>
    <col min="1" max="1" width="15.5703125" customWidth="1"/>
    <col min="2" max="2" width="24.7109375" customWidth="1"/>
    <col min="5" max="5" width="12.5703125" customWidth="1"/>
    <col min="6" max="6" width="14" customWidth="1"/>
    <col min="7" max="7" width="13" customWidth="1"/>
    <col min="11" max="11" width="14.85546875" customWidth="1"/>
    <col min="12" max="20" width="9.140625" customWidth="1"/>
    <col min="21" max="21" width="16.140625" customWidth="1"/>
    <col min="22" max="22" width="11.28515625" customWidth="1"/>
    <col min="24" max="24" width="14.5703125" customWidth="1"/>
    <col min="25" max="25" width="18.140625" customWidth="1"/>
    <col min="26" max="26" width="12.7109375" customWidth="1"/>
    <col min="27" max="27" width="7" style="11" customWidth="1"/>
    <col min="28" max="29" width="16.42578125" customWidth="1"/>
    <col min="30" max="30" width="13.5703125" customWidth="1"/>
    <col min="31" max="33" width="9.140625" customWidth="1"/>
    <col min="34" max="35" width="16.140625" customWidth="1"/>
    <col min="36" max="36" width="11.42578125" customWidth="1"/>
    <col min="37" max="37" width="8.28515625" customWidth="1"/>
    <col min="38" max="39" width="13.28515625" style="7" customWidth="1"/>
    <col min="40" max="46" width="12.85546875" customWidth="1"/>
    <col min="47" max="47" width="12.28515625" customWidth="1"/>
    <col min="48" max="48" width="12.85546875" customWidth="1"/>
    <col min="49" max="49" width="14" customWidth="1"/>
    <col min="50" max="50" width="10" customWidth="1"/>
    <col min="51" max="51" width="12.85546875" customWidth="1"/>
    <col min="52" max="52" width="10" customWidth="1"/>
    <col min="53" max="53" width="11.28515625" customWidth="1"/>
    <col min="54" max="54" width="11.42578125" customWidth="1"/>
    <col min="55" max="55" width="10" customWidth="1"/>
    <col min="56" max="56" width="13.140625" customWidth="1"/>
    <col min="57" max="58" width="12.85546875" customWidth="1"/>
    <col min="59" max="59" width="11.28515625" customWidth="1"/>
    <col min="60" max="60" width="7.42578125" customWidth="1"/>
    <col min="61" max="61" width="9.140625" customWidth="1"/>
    <col min="62" max="62" width="12.5703125" customWidth="1"/>
    <col min="63" max="68" width="9.7109375" customWidth="1"/>
    <col min="69" max="70" width="9.140625" customWidth="1"/>
    <col min="71" max="71" width="13" customWidth="1"/>
    <col min="72" max="72" width="14.140625" customWidth="1"/>
    <col min="73" max="74" width="10.28515625" customWidth="1"/>
    <col min="75" max="75" width="13.42578125" customWidth="1"/>
    <col min="76" max="76" width="12" customWidth="1"/>
    <col min="77" max="77" width="11.42578125" customWidth="1"/>
    <col min="78" max="78" width="12.140625" customWidth="1"/>
    <col min="79" max="79" width="11.42578125" customWidth="1"/>
    <col min="80" max="80" width="12.7109375" customWidth="1"/>
    <col min="81" max="81" width="11" style="7" customWidth="1"/>
    <col min="82" max="82" width="10.5703125" style="7" customWidth="1"/>
    <col min="83" max="83" width="11.7109375" customWidth="1"/>
    <col min="84" max="85" width="11.7109375" style="7" customWidth="1"/>
    <col min="86" max="86" width="11.42578125" bestFit="1" customWidth="1"/>
    <col min="87" max="89" width="11.5703125" customWidth="1"/>
    <col min="91" max="91" width="12.28515625" customWidth="1"/>
    <col min="92" max="93" width="12.28515625" style="7" customWidth="1"/>
    <col min="94" max="94" width="11.5703125" bestFit="1" customWidth="1"/>
    <col min="95" max="95" width="16.42578125" customWidth="1"/>
    <col min="97" max="97" width="22.85546875" customWidth="1"/>
    <col min="99" max="99" width="11" style="10" customWidth="1"/>
    <col min="100" max="100" width="10.5703125" style="10" customWidth="1"/>
    <col min="102" max="102" width="8.5703125" customWidth="1"/>
    <col min="103" max="103" width="6.28515625" customWidth="1"/>
    <col min="104" max="104" width="5.7109375" customWidth="1"/>
    <col min="106" max="106" width="11.28515625" customWidth="1"/>
    <col min="108" max="109" width="11.28515625" style="9" customWidth="1"/>
    <col min="110" max="110" width="18" style="2" customWidth="1"/>
    <col min="111" max="111" width="13" style="1" customWidth="1"/>
    <col min="112" max="112" width="11.5703125" style="2" customWidth="1"/>
    <col min="113" max="118" width="15.28515625" style="7" customWidth="1"/>
    <col min="119" max="120" width="9.140625" style="7"/>
    <col min="121" max="121" width="17.28515625" style="7" customWidth="1"/>
    <col min="122" max="122" width="9.140625" style="8"/>
    <col min="123" max="123" width="27.28515625" style="6" customWidth="1"/>
    <col min="124" max="125" width="27.28515625" style="82" customWidth="1"/>
    <col min="126" max="126" width="22.42578125" style="82" customWidth="1"/>
    <col min="127" max="129" width="27.28515625" style="82" customWidth="1"/>
    <col min="130" max="130" width="23.5703125" style="82" customWidth="1"/>
    <col min="131" max="131" width="22.42578125" style="82" customWidth="1"/>
    <col min="132" max="132" width="22.5703125" style="82" customWidth="1"/>
    <col min="133" max="133" width="27.28515625" style="1" customWidth="1"/>
    <col min="134" max="134" width="24.7109375" style="1" customWidth="1"/>
    <col min="135" max="135" width="22.28515625" style="1" customWidth="1"/>
    <col min="136" max="136" width="18.140625" style="1" customWidth="1"/>
    <col min="137" max="137" width="15.5703125" style="1" customWidth="1"/>
    <col min="138" max="141" width="17.5703125" style="1" customWidth="1"/>
    <col min="142" max="142" width="17.5703125" style="2" customWidth="1"/>
    <col min="143" max="145" width="17.5703125" style="5" customWidth="1"/>
    <col min="146" max="146" width="22.140625" style="5" customWidth="1"/>
    <col min="147" max="149" width="17.5703125" style="5" customWidth="1"/>
    <col min="150" max="150" width="9.140625" style="5" customWidth="1"/>
    <col min="151" max="151" width="11.42578125" style="4" customWidth="1"/>
    <col min="152" max="152" width="12.28515625" customWidth="1"/>
    <col min="153" max="154" width="6.28515625" customWidth="1"/>
    <col min="155" max="155" width="9.140625" style="2"/>
    <col min="156" max="156" width="12" style="1" bestFit="1" customWidth="1"/>
    <col min="157" max="161" width="10.7109375" style="1" customWidth="1"/>
    <col min="162" max="162" width="12.7109375" style="1" customWidth="1"/>
    <col min="163" max="163" width="10.7109375" style="1" customWidth="1"/>
    <col min="164" max="164" width="12.28515625" style="1" customWidth="1"/>
    <col min="165" max="165" width="19" customWidth="1"/>
    <col min="166" max="166" width="9.85546875" style="2" customWidth="1"/>
    <col min="167" max="167" width="15.5703125" style="1" customWidth="1"/>
    <col min="168" max="172" width="17.28515625" customWidth="1"/>
    <col min="173" max="173" width="17.28515625" style="2" customWidth="1"/>
    <col min="174" max="174" width="15.5703125" style="1" customWidth="1"/>
    <col min="175" max="178" width="14.42578125" style="1" customWidth="1"/>
    <col min="179" max="179" width="15.5703125" style="1" customWidth="1"/>
    <col min="180" max="183" width="13.42578125" customWidth="1"/>
    <col min="184" max="184" width="13.7109375" customWidth="1"/>
    <col min="186" max="186" width="13" bestFit="1" customWidth="1"/>
  </cols>
  <sheetData>
    <row r="1" spans="1:211" ht="94.5" customHeight="1">
      <c r="AL1" s="7" t="s">
        <v>306</v>
      </c>
      <c r="AM1" t="s">
        <v>306</v>
      </c>
      <c r="AN1" t="s">
        <v>306</v>
      </c>
      <c r="AP1" s="102" t="s">
        <v>310</v>
      </c>
      <c r="AQ1" s="16"/>
      <c r="AR1" s="16"/>
      <c r="AS1" s="98"/>
      <c r="AV1" t="s">
        <v>306</v>
      </c>
      <c r="AW1" t="s">
        <v>306</v>
      </c>
      <c r="AX1" s="109" t="s">
        <v>309</v>
      </c>
      <c r="AY1" t="s">
        <v>294</v>
      </c>
      <c r="BC1" t="s">
        <v>306</v>
      </c>
      <c r="BD1" t="s">
        <v>306</v>
      </c>
      <c r="BF1" t="s">
        <v>274</v>
      </c>
      <c r="BG1" s="2" t="s">
        <v>311</v>
      </c>
      <c r="BI1" t="s">
        <v>306</v>
      </c>
      <c r="BJ1" t="s">
        <v>306</v>
      </c>
      <c r="BM1" s="102" t="s">
        <v>310</v>
      </c>
      <c r="BN1" s="16"/>
      <c r="BO1" s="16"/>
      <c r="BP1" s="98"/>
      <c r="BR1" t="s">
        <v>306</v>
      </c>
      <c r="BS1" t="s">
        <v>306</v>
      </c>
      <c r="BT1" s="109" t="s">
        <v>309</v>
      </c>
      <c r="BV1" t="s">
        <v>294</v>
      </c>
      <c r="BW1" t="s">
        <v>306</v>
      </c>
      <c r="BZ1" t="s">
        <v>308</v>
      </c>
      <c r="CA1" t="s">
        <v>307</v>
      </c>
      <c r="CB1" t="s">
        <v>306</v>
      </c>
      <c r="CC1" s="7" t="s">
        <v>305</v>
      </c>
      <c r="CD1" s="7" t="s">
        <v>304</v>
      </c>
      <c r="CE1" t="s">
        <v>306</v>
      </c>
      <c r="CF1" s="7" t="s">
        <v>305</v>
      </c>
      <c r="CG1" s="7" t="s">
        <v>304</v>
      </c>
      <c r="CH1" t="s">
        <v>306</v>
      </c>
      <c r="CI1" t="s">
        <v>306</v>
      </c>
      <c r="CJ1" s="7" t="s">
        <v>305</v>
      </c>
      <c r="CK1" s="7" t="s">
        <v>304</v>
      </c>
      <c r="CL1" t="s">
        <v>306</v>
      </c>
      <c r="CM1" t="s">
        <v>306</v>
      </c>
      <c r="CN1" s="7" t="s">
        <v>305</v>
      </c>
      <c r="CO1" s="7" t="s">
        <v>304</v>
      </c>
      <c r="CW1" t="s">
        <v>303</v>
      </c>
      <c r="CX1" t="s">
        <v>302</v>
      </c>
      <c r="CZ1" t="s">
        <v>301</v>
      </c>
      <c r="DE1" s="9" t="s">
        <v>300</v>
      </c>
      <c r="DF1" s="135"/>
      <c r="DI1" s="134" t="s">
        <v>299</v>
      </c>
      <c r="DJ1" s="134" t="s">
        <v>291</v>
      </c>
      <c r="DK1" s="134" t="s">
        <v>291</v>
      </c>
      <c r="DL1" s="134" t="s">
        <v>291</v>
      </c>
      <c r="DM1" s="134"/>
      <c r="DN1" s="134"/>
      <c r="DO1" s="139" t="s">
        <v>298</v>
      </c>
      <c r="DP1" s="139"/>
      <c r="DQ1" s="139"/>
      <c r="DR1" s="139"/>
      <c r="DS1" s="140"/>
      <c r="DT1" s="136"/>
      <c r="DU1" s="136"/>
      <c r="DV1" s="136"/>
      <c r="DW1" s="137" t="s">
        <v>326</v>
      </c>
      <c r="DX1" s="137"/>
      <c r="DY1" s="136"/>
      <c r="DZ1" s="136"/>
      <c r="EA1" s="136"/>
      <c r="EB1" s="136"/>
      <c r="EC1" s="133" t="s">
        <v>297</v>
      </c>
      <c r="ED1" s="133" t="s">
        <v>296</v>
      </c>
      <c r="EE1" s="132" t="s">
        <v>295</v>
      </c>
      <c r="EF1" s="132"/>
      <c r="EG1" s="132"/>
      <c r="EH1" s="132" t="s">
        <v>294</v>
      </c>
      <c r="EI1" s="132"/>
      <c r="EJ1" s="132"/>
      <c r="EK1" s="132"/>
      <c r="EL1" s="132"/>
      <c r="EM1" s="129" t="s">
        <v>293</v>
      </c>
      <c r="EN1" s="129" t="s">
        <v>292</v>
      </c>
      <c r="EO1" s="131"/>
      <c r="EP1" s="131"/>
      <c r="EQ1" s="130" t="s">
        <v>291</v>
      </c>
      <c r="ER1" s="130" t="s">
        <v>291</v>
      </c>
      <c r="ES1" s="130" t="s">
        <v>291</v>
      </c>
      <c r="ET1" s="130"/>
      <c r="EU1" s="129"/>
      <c r="EV1" s="109" t="s">
        <v>290</v>
      </c>
      <c r="EW1" s="109" t="s">
        <v>289</v>
      </c>
      <c r="EX1" s="109" t="s">
        <v>288</v>
      </c>
      <c r="EY1" s="108" t="s">
        <v>287</v>
      </c>
      <c r="EZ1" s="111" t="s">
        <v>286</v>
      </c>
      <c r="FA1" s="111"/>
      <c r="FB1" s="111"/>
      <c r="FC1" s="111"/>
      <c r="FD1" s="111"/>
      <c r="FE1" s="111"/>
      <c r="FF1" s="111"/>
      <c r="FG1" s="111"/>
      <c r="FH1" s="111"/>
      <c r="FK1" t="s">
        <v>285</v>
      </c>
      <c r="FL1" s="109" t="s">
        <v>284</v>
      </c>
      <c r="FM1" s="109" t="s">
        <v>284</v>
      </c>
      <c r="FN1" s="109"/>
      <c r="FO1" s="109"/>
      <c r="FP1" s="109"/>
      <c r="FQ1"/>
      <c r="FR1"/>
      <c r="FS1"/>
      <c r="FT1"/>
      <c r="FU1"/>
      <c r="FV1"/>
      <c r="FW1"/>
    </row>
    <row r="2" spans="1:211" ht="18.75" customHeight="1">
      <c r="AD2" t="s">
        <v>283</v>
      </c>
      <c r="AI2" t="s">
        <v>282</v>
      </c>
      <c r="AL2" s="7" t="s">
        <v>281</v>
      </c>
      <c r="AM2" t="s">
        <v>169</v>
      </c>
      <c r="AN2" t="s">
        <v>169</v>
      </c>
      <c r="AP2" s="102"/>
      <c r="AQ2" s="16" t="s">
        <v>271</v>
      </c>
      <c r="AR2" s="16"/>
      <c r="AS2" s="98"/>
      <c r="AV2" t="s">
        <v>280</v>
      </c>
      <c r="AW2" t="s">
        <v>279</v>
      </c>
      <c r="AX2" t="s">
        <v>278</v>
      </c>
      <c r="AY2" t="s">
        <v>264</v>
      </c>
      <c r="BA2" t="s">
        <v>277</v>
      </c>
      <c r="BB2" t="s">
        <v>276</v>
      </c>
      <c r="BC2" t="s">
        <v>275</v>
      </c>
      <c r="BF2" t="s">
        <v>274</v>
      </c>
      <c r="BG2" s="2" t="s">
        <v>273</v>
      </c>
      <c r="BI2" t="s">
        <v>272</v>
      </c>
      <c r="BJ2" t="s">
        <v>272</v>
      </c>
      <c r="BM2" s="102"/>
      <c r="BN2" s="16" t="s">
        <v>271</v>
      </c>
      <c r="BO2" s="16"/>
      <c r="BP2" s="98"/>
      <c r="BR2" t="s">
        <v>270</v>
      </c>
      <c r="BT2" t="s">
        <v>269</v>
      </c>
      <c r="BV2" t="s">
        <v>268</v>
      </c>
      <c r="BW2" t="s">
        <v>267</v>
      </c>
      <c r="CA2" s="2" t="s">
        <v>266</v>
      </c>
      <c r="CU2" s="10" t="s">
        <v>265</v>
      </c>
      <c r="DJ2" s="7" t="s">
        <v>261</v>
      </c>
      <c r="DK2" s="7" t="s">
        <v>260</v>
      </c>
      <c r="DL2" s="7" t="s">
        <v>259</v>
      </c>
      <c r="DT2" s="6"/>
      <c r="DU2" s="6"/>
      <c r="DV2" s="6"/>
      <c r="DW2" s="112"/>
      <c r="DX2" s="138"/>
      <c r="DY2" s="6"/>
      <c r="DZ2" s="6"/>
      <c r="EA2" s="6"/>
      <c r="EB2" s="6"/>
      <c r="EC2" s="98"/>
      <c r="ED2" s="98"/>
      <c r="EE2" s="98"/>
      <c r="EF2" s="98"/>
      <c r="EG2" s="98"/>
      <c r="EH2" s="98" t="s">
        <v>264</v>
      </c>
      <c r="EI2" s="98"/>
      <c r="EJ2" s="128" t="s">
        <v>259</v>
      </c>
      <c r="EK2" s="98"/>
      <c r="EL2" s="98"/>
      <c r="EM2" s="4"/>
      <c r="EN2" s="4" t="s">
        <v>263</v>
      </c>
      <c r="EO2" s="5" t="s">
        <v>262</v>
      </c>
      <c r="EQ2" s="49" t="s">
        <v>261</v>
      </c>
      <c r="ER2" s="49" t="s">
        <v>260</v>
      </c>
      <c r="ES2" s="49" t="s">
        <v>259</v>
      </c>
      <c r="ET2" s="49"/>
      <c r="FK2"/>
      <c r="FP2" t="s">
        <v>336</v>
      </c>
      <c r="FQ2"/>
      <c r="FR2"/>
      <c r="FS2" t="s">
        <v>258</v>
      </c>
      <c r="FT2" t="s">
        <v>258</v>
      </c>
      <c r="FU2" t="s">
        <v>258</v>
      </c>
      <c r="FV2" t="s">
        <v>258</v>
      </c>
      <c r="FW2"/>
      <c r="GC2" t="s">
        <v>257</v>
      </c>
    </row>
    <row r="3" spans="1:211" ht="136.5" customHeight="1">
      <c r="A3" s="124" t="s">
        <v>88</v>
      </c>
      <c r="B3" s="124" t="s">
        <v>256</v>
      </c>
      <c r="C3" s="124" t="s">
        <v>255</v>
      </c>
      <c r="D3" s="124" t="s">
        <v>254</v>
      </c>
      <c r="E3" s="124" t="s">
        <v>253</v>
      </c>
      <c r="F3" s="124" t="s">
        <v>252</v>
      </c>
      <c r="G3" s="124" t="s">
        <v>251</v>
      </c>
      <c r="H3" s="124" t="s">
        <v>176</v>
      </c>
      <c r="I3" s="124" t="s">
        <v>250</v>
      </c>
      <c r="J3" s="124" t="s">
        <v>249</v>
      </c>
      <c r="K3" s="124" t="s">
        <v>248</v>
      </c>
      <c r="L3" s="124" t="s">
        <v>247</v>
      </c>
      <c r="M3" s="124" t="s">
        <v>246</v>
      </c>
      <c r="N3" s="124" t="s">
        <v>245</v>
      </c>
      <c r="O3" s="104" t="s">
        <v>244</v>
      </c>
      <c r="P3" s="124" t="s">
        <v>243</v>
      </c>
      <c r="Q3" s="124" t="s">
        <v>242</v>
      </c>
      <c r="R3" s="124" t="s">
        <v>241</v>
      </c>
      <c r="S3" s="124" t="s">
        <v>242</v>
      </c>
      <c r="T3" s="124" t="s">
        <v>241</v>
      </c>
      <c r="U3" s="124" t="s">
        <v>240</v>
      </c>
      <c r="V3" s="124" t="s">
        <v>239</v>
      </c>
      <c r="W3" s="124" t="s">
        <v>238</v>
      </c>
      <c r="X3" s="124" t="s">
        <v>237</v>
      </c>
      <c r="Y3" s="124" t="s">
        <v>236</v>
      </c>
      <c r="Z3" s="124" t="s">
        <v>235</v>
      </c>
      <c r="AA3" s="127" t="s">
        <v>234</v>
      </c>
      <c r="AB3" s="104" t="s">
        <v>233</v>
      </c>
      <c r="AC3" s="104" t="s">
        <v>232</v>
      </c>
      <c r="AD3" s="124" t="s">
        <v>231</v>
      </c>
      <c r="AE3" s="124" t="s">
        <v>230</v>
      </c>
      <c r="AF3" s="124" t="s">
        <v>229</v>
      </c>
      <c r="AG3" s="124" t="s">
        <v>228</v>
      </c>
      <c r="AH3" s="104" t="s">
        <v>227</v>
      </c>
      <c r="AI3" s="104" t="s">
        <v>226</v>
      </c>
      <c r="AJ3" s="104" t="s">
        <v>225</v>
      </c>
      <c r="AK3" s="104" t="s">
        <v>224</v>
      </c>
      <c r="AL3" s="118" t="s">
        <v>221</v>
      </c>
      <c r="AM3" s="104" t="s">
        <v>223</v>
      </c>
      <c r="AN3" s="124" t="s">
        <v>222</v>
      </c>
      <c r="AO3" s="124" t="s">
        <v>220</v>
      </c>
      <c r="AP3" s="126" t="s">
        <v>221</v>
      </c>
      <c r="AQ3" s="125" t="s">
        <v>205</v>
      </c>
      <c r="AR3" s="125" t="s">
        <v>204</v>
      </c>
      <c r="AS3" s="125" t="s">
        <v>220</v>
      </c>
      <c r="AT3" s="104" t="s">
        <v>218</v>
      </c>
      <c r="AU3" s="104" t="s">
        <v>219</v>
      </c>
      <c r="AV3" s="104" t="s">
        <v>218</v>
      </c>
      <c r="AW3" s="104" t="s">
        <v>201</v>
      </c>
      <c r="AX3" s="104" t="s">
        <v>217</v>
      </c>
      <c r="AY3" s="104" t="s">
        <v>150</v>
      </c>
      <c r="AZ3" s="104" t="s">
        <v>199</v>
      </c>
      <c r="BA3" s="104" t="s">
        <v>199</v>
      </c>
      <c r="BB3" s="104" t="s">
        <v>216</v>
      </c>
      <c r="BC3" s="104" t="s">
        <v>215</v>
      </c>
      <c r="BD3" s="104" t="s">
        <v>214</v>
      </c>
      <c r="BE3" s="104" t="s">
        <v>213</v>
      </c>
      <c r="BF3" s="104" t="s">
        <v>212</v>
      </c>
      <c r="BG3" s="120" t="s">
        <v>211</v>
      </c>
      <c r="BH3" s="104" t="s">
        <v>206</v>
      </c>
      <c r="BI3" s="124" t="s">
        <v>210</v>
      </c>
      <c r="BJ3" s="124" t="s">
        <v>209</v>
      </c>
      <c r="BK3" s="104" t="s">
        <v>208</v>
      </c>
      <c r="BL3" s="104" t="s">
        <v>207</v>
      </c>
      <c r="BM3" s="126" t="s">
        <v>206</v>
      </c>
      <c r="BN3" s="125" t="s">
        <v>205</v>
      </c>
      <c r="BO3" s="125" t="s">
        <v>204</v>
      </c>
      <c r="BP3" s="125" t="s">
        <v>203</v>
      </c>
      <c r="BQ3" s="124" t="s">
        <v>202</v>
      </c>
      <c r="BR3" s="124" t="s">
        <v>202</v>
      </c>
      <c r="BS3" s="104" t="s">
        <v>201</v>
      </c>
      <c r="BT3" s="104" t="s">
        <v>200</v>
      </c>
      <c r="BU3" s="104" t="s">
        <v>199</v>
      </c>
      <c r="BV3" s="104" t="s">
        <v>198</v>
      </c>
      <c r="BW3" s="104" t="s">
        <v>197</v>
      </c>
      <c r="BX3" s="104" t="s">
        <v>196</v>
      </c>
      <c r="BY3" s="104" t="s">
        <v>195</v>
      </c>
      <c r="BZ3" s="104" t="s">
        <v>194</v>
      </c>
      <c r="CA3" s="104" t="s">
        <v>193</v>
      </c>
      <c r="CB3" s="104" t="s">
        <v>143</v>
      </c>
      <c r="CC3" s="118" t="s">
        <v>192</v>
      </c>
      <c r="CD3" s="118" t="s">
        <v>191</v>
      </c>
      <c r="CE3" s="104" t="s">
        <v>142</v>
      </c>
      <c r="CF3" s="118" t="s">
        <v>190</v>
      </c>
      <c r="CG3" s="118" t="s">
        <v>189</v>
      </c>
      <c r="CH3" s="104" t="s">
        <v>188</v>
      </c>
      <c r="CI3" s="104" t="s">
        <v>187</v>
      </c>
      <c r="CJ3" s="118" t="s">
        <v>186</v>
      </c>
      <c r="CK3" s="118" t="s">
        <v>185</v>
      </c>
      <c r="CL3" s="104" t="s">
        <v>184</v>
      </c>
      <c r="CM3" s="104" t="s">
        <v>183</v>
      </c>
      <c r="CN3" s="118" t="s">
        <v>182</v>
      </c>
      <c r="CO3" s="118" t="s">
        <v>181</v>
      </c>
      <c r="CP3" s="12" t="s">
        <v>180</v>
      </c>
      <c r="CQ3" s="104" t="s">
        <v>179</v>
      </c>
      <c r="CR3" s="123" t="s">
        <v>178</v>
      </c>
      <c r="CS3" s="12" t="s">
        <v>177</v>
      </c>
      <c r="CT3" s="12" t="s">
        <v>176</v>
      </c>
      <c r="CU3" s="86" t="s">
        <v>175</v>
      </c>
      <c r="CV3" s="122" t="s">
        <v>174</v>
      </c>
      <c r="CW3" s="104" t="s">
        <v>173</v>
      </c>
      <c r="CX3" s="104" t="s">
        <v>172</v>
      </c>
      <c r="CY3" s="104" t="s">
        <v>171</v>
      </c>
      <c r="CZ3" s="104" t="s">
        <v>170</v>
      </c>
      <c r="DA3" s="104" t="s">
        <v>169</v>
      </c>
      <c r="DB3" s="104" t="s">
        <v>168</v>
      </c>
      <c r="DC3" s="104" t="s">
        <v>167</v>
      </c>
      <c r="DD3" s="121" t="s">
        <v>166</v>
      </c>
      <c r="DE3" s="121" t="s">
        <v>165</v>
      </c>
      <c r="DF3" s="120" t="s">
        <v>164</v>
      </c>
      <c r="DG3" s="103" t="s">
        <v>163</v>
      </c>
      <c r="DH3" s="120" t="s">
        <v>162</v>
      </c>
      <c r="DI3" s="118" t="s">
        <v>161</v>
      </c>
      <c r="DJ3" s="118" t="s">
        <v>146</v>
      </c>
      <c r="DK3" s="119" t="s">
        <v>145</v>
      </c>
      <c r="DL3" s="117" t="s">
        <v>144</v>
      </c>
      <c r="DM3" s="117" t="s">
        <v>143</v>
      </c>
      <c r="DN3" s="117" t="s">
        <v>142</v>
      </c>
      <c r="DO3" s="118" t="s">
        <v>160</v>
      </c>
      <c r="DP3" s="118" t="s">
        <v>159</v>
      </c>
      <c r="DQ3" s="118" t="s">
        <v>158</v>
      </c>
      <c r="DR3" s="114" t="s">
        <v>157</v>
      </c>
      <c r="DS3" s="117" t="s">
        <v>156</v>
      </c>
      <c r="DT3" s="112" t="s">
        <v>328</v>
      </c>
      <c r="DU3" s="112" t="s">
        <v>329</v>
      </c>
      <c r="DV3" s="112" t="s">
        <v>327</v>
      </c>
      <c r="DW3" s="112" t="s">
        <v>324</v>
      </c>
      <c r="DX3" s="112" t="s">
        <v>330</v>
      </c>
      <c r="DY3" s="112" t="s">
        <v>325</v>
      </c>
      <c r="DZ3" s="112" t="s">
        <v>331</v>
      </c>
      <c r="EA3" s="112" t="s">
        <v>332</v>
      </c>
      <c r="EB3" s="112" t="s">
        <v>333</v>
      </c>
      <c r="EC3" s="115" t="s">
        <v>155</v>
      </c>
      <c r="ED3" s="115" t="s">
        <v>154</v>
      </c>
      <c r="EE3" s="115" t="s">
        <v>153</v>
      </c>
      <c r="EF3" s="115" t="s">
        <v>152</v>
      </c>
      <c r="EG3" s="115" t="s">
        <v>151</v>
      </c>
      <c r="EH3" s="115" t="s">
        <v>150</v>
      </c>
      <c r="EI3" s="116" t="s">
        <v>145</v>
      </c>
      <c r="EJ3" s="115" t="s">
        <v>144</v>
      </c>
      <c r="EK3" s="115" t="s">
        <v>143</v>
      </c>
      <c r="EL3" s="115" t="s">
        <v>142</v>
      </c>
      <c r="EM3" s="112" t="s">
        <v>149</v>
      </c>
      <c r="EN3" s="112"/>
      <c r="EO3" s="114" t="s">
        <v>148</v>
      </c>
      <c r="EP3" s="114" t="s">
        <v>147</v>
      </c>
      <c r="EQ3" s="114" t="s">
        <v>146</v>
      </c>
      <c r="ER3" s="113" t="s">
        <v>145</v>
      </c>
      <c r="ES3" s="112" t="s">
        <v>144</v>
      </c>
      <c r="ET3" s="112" t="s">
        <v>143</v>
      </c>
      <c r="EU3" s="112" t="s">
        <v>142</v>
      </c>
      <c r="FA3" s="111" t="s">
        <v>141</v>
      </c>
      <c r="FB3" s="111" t="s">
        <v>140</v>
      </c>
      <c r="FC3" s="111" t="s">
        <v>139</v>
      </c>
      <c r="FD3" s="111" t="s">
        <v>138</v>
      </c>
      <c r="FE3" s="104" t="s">
        <v>137</v>
      </c>
      <c r="FF3" s="104" t="s">
        <v>136</v>
      </c>
      <c r="FG3" s="104" t="s">
        <v>135</v>
      </c>
      <c r="FH3" s="110" t="s">
        <v>134</v>
      </c>
      <c r="FI3" s="109" t="s">
        <v>133</v>
      </c>
      <c r="FJ3" s="108" t="s">
        <v>132</v>
      </c>
      <c r="FK3" s="107" t="s">
        <v>131</v>
      </c>
      <c r="FL3" s="106" t="s">
        <v>130</v>
      </c>
      <c r="FM3" s="106" t="s">
        <v>337</v>
      </c>
      <c r="FN3" s="106" t="s">
        <v>129</v>
      </c>
      <c r="FO3" s="106" t="s">
        <v>334</v>
      </c>
      <c r="FP3" s="106" t="s">
        <v>335</v>
      </c>
      <c r="FQ3" s="105" t="s">
        <v>128</v>
      </c>
      <c r="FR3" s="107" t="s">
        <v>127</v>
      </c>
      <c r="FS3" s="106" t="s">
        <v>123</v>
      </c>
      <c r="FT3" s="106" t="s">
        <v>126</v>
      </c>
      <c r="FU3" s="106" t="s">
        <v>125</v>
      </c>
      <c r="FV3" s="105" t="s">
        <v>124</v>
      </c>
      <c r="FW3" s="107" t="s">
        <v>122</v>
      </c>
      <c r="FX3" s="106" t="s">
        <v>121</v>
      </c>
      <c r="FY3" s="106" t="s">
        <v>120</v>
      </c>
      <c r="FZ3" s="106" t="s">
        <v>119</v>
      </c>
      <c r="GA3" s="105" t="s">
        <v>118</v>
      </c>
      <c r="GC3" s="104" t="s">
        <v>117</v>
      </c>
      <c r="GD3" s="104" t="s">
        <v>116</v>
      </c>
      <c r="GE3" s="103" t="s">
        <v>115</v>
      </c>
      <c r="GF3" s="103" t="s">
        <v>114</v>
      </c>
      <c r="GG3" s="103" t="s">
        <v>113</v>
      </c>
      <c r="GH3" s="103" t="s">
        <v>112</v>
      </c>
      <c r="GI3" s="103" t="s">
        <v>111</v>
      </c>
      <c r="GJ3" s="103" t="s">
        <v>110</v>
      </c>
      <c r="GK3" s="103" t="s">
        <v>109</v>
      </c>
      <c r="GL3" s="103" t="s">
        <v>108</v>
      </c>
      <c r="GM3" s="103"/>
      <c r="GN3" s="103"/>
      <c r="GO3" s="103"/>
      <c r="GP3" s="103"/>
      <c r="GU3" t="s">
        <v>107</v>
      </c>
    </row>
    <row r="4" spans="1:211">
      <c r="A4" t="s">
        <v>88</v>
      </c>
      <c r="G4" t="s">
        <v>105</v>
      </c>
      <c r="H4" t="s">
        <v>106</v>
      </c>
      <c r="I4" t="s">
        <v>106</v>
      </c>
      <c r="J4" t="s">
        <v>105</v>
      </c>
      <c r="M4" t="s">
        <v>98</v>
      </c>
      <c r="N4" t="s">
        <v>98</v>
      </c>
      <c r="O4" t="s">
        <v>98</v>
      </c>
      <c r="P4" t="s">
        <v>98</v>
      </c>
      <c r="Q4" t="s">
        <v>97</v>
      </c>
      <c r="R4" t="s">
        <v>97</v>
      </c>
      <c r="S4" t="s">
        <v>98</v>
      </c>
      <c r="T4" t="s">
        <v>98</v>
      </c>
      <c r="AD4" t="s">
        <v>104</v>
      </c>
      <c r="AE4" t="s">
        <v>104</v>
      </c>
      <c r="AF4" t="s">
        <v>104</v>
      </c>
      <c r="AG4" t="s">
        <v>104</v>
      </c>
      <c r="AJ4" t="s">
        <v>104</v>
      </c>
      <c r="AK4" t="s">
        <v>104</v>
      </c>
      <c r="AL4" s="7" t="s">
        <v>90</v>
      </c>
      <c r="AM4" s="7" t="s">
        <v>104</v>
      </c>
      <c r="AN4" t="s">
        <v>90</v>
      </c>
      <c r="AO4" t="s">
        <v>103</v>
      </c>
      <c r="AP4" s="102" t="s">
        <v>102</v>
      </c>
      <c r="AQ4" s="98" t="s">
        <v>100</v>
      </c>
      <c r="AR4" s="16" t="s">
        <v>101</v>
      </c>
      <c r="AS4" s="98" t="s">
        <v>100</v>
      </c>
      <c r="AT4" t="s">
        <v>99</v>
      </c>
      <c r="AU4" t="s">
        <v>93</v>
      </c>
      <c r="AV4" t="s">
        <v>89</v>
      </c>
      <c r="AW4" t="s">
        <v>98</v>
      </c>
      <c r="AX4" t="s">
        <v>98</v>
      </c>
      <c r="AY4" t="s">
        <v>98</v>
      </c>
      <c r="AZ4" t="s">
        <v>98</v>
      </c>
      <c r="BA4" t="s">
        <v>97</v>
      </c>
      <c r="BB4" t="s">
        <v>97</v>
      </c>
      <c r="BC4" t="s">
        <v>92</v>
      </c>
      <c r="BD4" t="s">
        <v>92</v>
      </c>
      <c r="BE4" t="s">
        <v>96</v>
      </c>
      <c r="BF4" t="s">
        <v>92</v>
      </c>
      <c r="BG4" s="2" t="s">
        <v>92</v>
      </c>
      <c r="BH4" t="s">
        <v>104</v>
      </c>
      <c r="BI4" t="s">
        <v>104</v>
      </c>
      <c r="BJ4" t="s">
        <v>90</v>
      </c>
      <c r="BK4" t="s">
        <v>103</v>
      </c>
      <c r="BL4" t="s">
        <v>93</v>
      </c>
      <c r="BM4" s="102" t="s">
        <v>102</v>
      </c>
      <c r="BN4" s="98" t="s">
        <v>100</v>
      </c>
      <c r="BO4" s="16" t="s">
        <v>101</v>
      </c>
      <c r="BP4" s="98" t="s">
        <v>100</v>
      </c>
      <c r="BQ4" t="s">
        <v>99</v>
      </c>
      <c r="BR4" t="s">
        <v>89</v>
      </c>
      <c r="BS4" t="s">
        <v>98</v>
      </c>
      <c r="BT4" t="s">
        <v>98</v>
      </c>
      <c r="BU4" t="s">
        <v>98</v>
      </c>
      <c r="BV4" t="s">
        <v>97</v>
      </c>
      <c r="BW4" t="s">
        <v>92</v>
      </c>
      <c r="BX4" t="s">
        <v>92</v>
      </c>
      <c r="BY4" t="s">
        <v>96</v>
      </c>
      <c r="BZ4" t="s">
        <v>92</v>
      </c>
      <c r="CA4" t="s">
        <v>92</v>
      </c>
      <c r="CB4" t="s">
        <v>91</v>
      </c>
      <c r="CH4" t="s">
        <v>91</v>
      </c>
      <c r="CI4" t="s">
        <v>91</v>
      </c>
      <c r="CL4" s="7" t="s">
        <v>91</v>
      </c>
      <c r="CM4" t="s">
        <v>91</v>
      </c>
      <c r="CU4" s="10" t="s">
        <v>91</v>
      </c>
      <c r="CV4" s="10" t="s">
        <v>91</v>
      </c>
      <c r="CW4" t="s">
        <v>91</v>
      </c>
      <c r="CX4" t="s">
        <v>95</v>
      </c>
      <c r="DA4" t="s">
        <v>90</v>
      </c>
      <c r="DE4" s="9" t="s">
        <v>94</v>
      </c>
      <c r="DF4" s="2" t="s">
        <v>94</v>
      </c>
      <c r="DG4" t="s">
        <v>94</v>
      </c>
      <c r="DH4" s="2" t="s">
        <v>94</v>
      </c>
      <c r="DI4" s="7" t="s">
        <v>91</v>
      </c>
      <c r="DJ4" s="7" t="s">
        <v>92</v>
      </c>
      <c r="DK4" s="45" t="s">
        <v>92</v>
      </c>
      <c r="DL4" s="45" t="s">
        <v>92</v>
      </c>
      <c r="DT4" s="82" t="s">
        <v>90</v>
      </c>
      <c r="DV4" s="82" t="s">
        <v>90</v>
      </c>
      <c r="EC4" s="16" t="s">
        <v>91</v>
      </c>
      <c r="ED4" s="16" t="s">
        <v>92</v>
      </c>
      <c r="EE4" s="16" t="s">
        <v>92</v>
      </c>
      <c r="EF4" s="85" t="s">
        <v>89</v>
      </c>
      <c r="EG4" s="85" t="s">
        <v>90</v>
      </c>
      <c r="EH4" s="16" t="s">
        <v>93</v>
      </c>
      <c r="EI4" s="16"/>
      <c r="EJ4" s="16"/>
      <c r="EK4" s="16"/>
      <c r="EL4" s="98"/>
      <c r="EM4" s="5" t="s">
        <v>91</v>
      </c>
      <c r="EO4" s="5" t="s">
        <v>91</v>
      </c>
      <c r="EQ4" s="49" t="s">
        <v>92</v>
      </c>
      <c r="ER4" s="87" t="s">
        <v>92</v>
      </c>
      <c r="ES4" s="87" t="s">
        <v>92</v>
      </c>
      <c r="ET4" s="49"/>
      <c r="EU4" s="49"/>
      <c r="FE4"/>
      <c r="FF4"/>
      <c r="FH4" s="2"/>
      <c r="FK4"/>
      <c r="FR4"/>
      <c r="FS4"/>
      <c r="FT4"/>
      <c r="FU4"/>
      <c r="FV4"/>
      <c r="FW4"/>
      <c r="GG4" t="s">
        <v>90</v>
      </c>
      <c r="GJ4" t="s">
        <v>89</v>
      </c>
      <c r="GU4">
        <v>0</v>
      </c>
      <c r="GV4">
        <v>0</v>
      </c>
    </row>
    <row r="5" spans="1:211">
      <c r="A5" t="s">
        <v>88</v>
      </c>
      <c r="BG5" s="2"/>
      <c r="CL5" s="7"/>
      <c r="EQ5" s="49"/>
      <c r="ER5" s="49"/>
      <c r="ES5" s="49"/>
      <c r="ET5" s="49"/>
      <c r="EU5" s="49"/>
      <c r="FE5"/>
      <c r="FF5"/>
      <c r="FH5" s="2"/>
      <c r="FK5"/>
      <c r="FR5"/>
      <c r="FS5"/>
      <c r="FT5"/>
      <c r="FU5"/>
      <c r="FV5"/>
      <c r="FW5"/>
      <c r="GU5">
        <v>105</v>
      </c>
      <c r="GV5">
        <v>105</v>
      </c>
    </row>
    <row r="6" spans="1:211">
      <c r="BG6" s="2"/>
      <c r="CL6" s="7"/>
      <c r="EQ6" s="49"/>
      <c r="ER6" s="49"/>
      <c r="ES6" s="49"/>
      <c r="ET6" s="49"/>
      <c r="EU6" s="49"/>
      <c r="FE6"/>
      <c r="FF6"/>
      <c r="FK6"/>
      <c r="FQ6" s="1"/>
      <c r="FR6"/>
      <c r="FS6"/>
      <c r="FT6"/>
      <c r="FU6"/>
      <c r="FV6"/>
      <c r="FW6"/>
    </row>
    <row r="7" spans="1:211">
      <c r="BG7" s="2"/>
      <c r="CL7" s="7"/>
      <c r="EQ7" s="49"/>
      <c r="ER7" s="49"/>
      <c r="ES7" s="49"/>
      <c r="ET7" s="49"/>
      <c r="EU7" s="49"/>
      <c r="FE7"/>
      <c r="FF7"/>
      <c r="FK7"/>
      <c r="FQ7" s="1"/>
      <c r="FR7"/>
      <c r="FS7"/>
      <c r="FT7"/>
      <c r="FU7"/>
      <c r="FV7"/>
      <c r="FW7"/>
    </row>
    <row r="8" spans="1:211">
      <c r="BG8" s="2"/>
      <c r="CL8" s="7"/>
      <c r="EQ8" s="49"/>
      <c r="ER8" s="49"/>
      <c r="ES8" s="49"/>
      <c r="ET8" s="49"/>
      <c r="EU8" s="49"/>
      <c r="FE8"/>
      <c r="FF8"/>
      <c r="FK8"/>
      <c r="FQ8" s="1"/>
      <c r="FR8"/>
      <c r="FS8"/>
      <c r="FT8"/>
      <c r="FU8"/>
      <c r="FV8"/>
      <c r="FW8"/>
      <c r="HC8">
        <v>1</v>
      </c>
    </row>
    <row r="9" spans="1:211">
      <c r="BG9" s="2"/>
      <c r="CL9" s="7"/>
      <c r="EQ9" s="49"/>
      <c r="ER9" s="49"/>
      <c r="ES9" s="49"/>
      <c r="ET9" s="49"/>
      <c r="EU9" s="49"/>
      <c r="FE9"/>
      <c r="FF9"/>
      <c r="FK9"/>
      <c r="FQ9" s="1"/>
      <c r="FR9"/>
      <c r="FS9"/>
      <c r="FT9"/>
      <c r="FU9"/>
      <c r="FV9"/>
      <c r="FW9"/>
      <c r="HC9">
        <v>2</v>
      </c>
    </row>
    <row r="10" spans="1:211">
      <c r="BG10" s="2"/>
      <c r="CL10" s="7"/>
      <c r="EQ10" s="49"/>
      <c r="ER10" s="49"/>
      <c r="ES10" s="49"/>
      <c r="ET10" s="49"/>
      <c r="EU10" s="49"/>
      <c r="FE10"/>
      <c r="FF10"/>
      <c r="FK10"/>
      <c r="FQ10" s="1"/>
      <c r="FR10"/>
      <c r="FS10"/>
      <c r="FT10"/>
      <c r="FU10"/>
      <c r="FV10"/>
      <c r="FW10"/>
      <c r="HC10">
        <v>3</v>
      </c>
    </row>
    <row r="11" spans="1:211">
      <c r="BG11" s="2"/>
      <c r="CL11" s="7"/>
      <c r="EQ11" s="49"/>
      <c r="ER11" s="49"/>
      <c r="ES11" s="49"/>
      <c r="ET11" s="49"/>
      <c r="EU11" s="49"/>
      <c r="FE11"/>
      <c r="FF11"/>
      <c r="FK11"/>
      <c r="FQ11" s="1"/>
      <c r="FR11"/>
      <c r="FS11"/>
      <c r="FT11"/>
      <c r="FU11"/>
      <c r="FV11"/>
      <c r="FW11"/>
      <c r="HC11">
        <v>4</v>
      </c>
    </row>
    <row r="12" spans="1:211">
      <c r="BG12" s="2"/>
      <c r="CL12" s="7"/>
      <c r="EQ12" s="49"/>
      <c r="ER12" s="49"/>
      <c r="ES12" s="49"/>
      <c r="ET12" s="49"/>
      <c r="EU12" s="49"/>
      <c r="FE12"/>
      <c r="FF12"/>
      <c r="FK12"/>
      <c r="FQ12" s="1"/>
      <c r="FR12"/>
      <c r="FS12"/>
      <c r="FT12"/>
      <c r="FU12"/>
      <c r="FV12"/>
      <c r="FW12"/>
      <c r="HC12">
        <v>5</v>
      </c>
    </row>
    <row r="13" spans="1:211">
      <c r="BG13" s="2"/>
      <c r="CL13" s="7"/>
      <c r="EQ13" s="49"/>
      <c r="ER13" s="49"/>
      <c r="ES13" s="49"/>
      <c r="ET13" s="49"/>
      <c r="EU13" s="49"/>
      <c r="FE13"/>
      <c r="FF13"/>
      <c r="FK13"/>
      <c r="FQ13" s="1"/>
      <c r="FR13"/>
      <c r="FS13"/>
      <c r="FT13"/>
      <c r="FU13"/>
      <c r="FV13"/>
      <c r="FW13"/>
      <c r="HC13">
        <v>6</v>
      </c>
    </row>
    <row r="14" spans="1:211">
      <c r="BG14" s="2"/>
      <c r="CL14" s="7"/>
      <c r="EQ14" s="49"/>
      <c r="ER14" s="49"/>
      <c r="ES14" s="49"/>
      <c r="ET14" s="49"/>
      <c r="EU14" s="49"/>
      <c r="FE14"/>
      <c r="FF14"/>
      <c r="FK14"/>
      <c r="FQ14" s="1"/>
      <c r="FR14"/>
      <c r="FS14"/>
      <c r="FT14"/>
      <c r="FU14"/>
      <c r="FV14"/>
      <c r="FW14"/>
      <c r="HC14">
        <v>7</v>
      </c>
    </row>
    <row r="15" spans="1:211">
      <c r="BG15" s="2"/>
      <c r="CL15" s="7"/>
      <c r="EQ15" s="49"/>
      <c r="ER15" s="49"/>
      <c r="ES15" s="49"/>
      <c r="ET15" s="49"/>
      <c r="EU15" s="49"/>
      <c r="FE15"/>
      <c r="FF15"/>
      <c r="FK15"/>
      <c r="FQ15" s="1"/>
      <c r="FR15"/>
      <c r="FS15"/>
      <c r="FT15"/>
      <c r="FU15"/>
      <c r="FV15"/>
      <c r="FW15"/>
      <c r="HC15">
        <v>8</v>
      </c>
    </row>
    <row r="16" spans="1:211">
      <c r="BG16" s="2"/>
      <c r="CL16" s="7"/>
      <c r="EQ16" s="49"/>
      <c r="ER16" s="49"/>
      <c r="ES16" s="49"/>
      <c r="ET16" s="49"/>
      <c r="EU16" s="49"/>
      <c r="FE16"/>
      <c r="FF16"/>
      <c r="FK16"/>
      <c r="FQ16" s="1"/>
      <c r="FR16"/>
      <c r="FS16"/>
      <c r="FT16"/>
      <c r="FU16"/>
      <c r="FV16"/>
      <c r="FW16"/>
      <c r="HC16">
        <v>9</v>
      </c>
    </row>
    <row r="17" spans="59:211">
      <c r="BG17" s="2"/>
      <c r="CL17" s="7"/>
      <c r="EQ17" s="49"/>
      <c r="ER17" s="49"/>
      <c r="ES17" s="49"/>
      <c r="ET17" s="49"/>
      <c r="EU17" s="49"/>
      <c r="FE17"/>
      <c r="FF17"/>
      <c r="FK17"/>
      <c r="FQ17" s="1"/>
      <c r="FR17"/>
      <c r="FS17"/>
      <c r="FT17"/>
      <c r="FU17"/>
      <c r="FV17"/>
      <c r="FW17"/>
      <c r="HC17">
        <v>10</v>
      </c>
    </row>
    <row r="18" spans="59:211">
      <c r="BG18" s="2"/>
      <c r="CL18" s="7"/>
      <c r="EQ18" s="49"/>
      <c r="ER18" s="49"/>
      <c r="ES18" s="49"/>
      <c r="ET18" s="49"/>
      <c r="EU18" s="49"/>
      <c r="FE18"/>
      <c r="FF18"/>
      <c r="FK18"/>
      <c r="FQ18" s="1"/>
      <c r="FR18"/>
      <c r="FS18"/>
      <c r="FT18"/>
      <c r="FU18"/>
      <c r="FV18"/>
      <c r="FW18"/>
      <c r="HC18">
        <v>11</v>
      </c>
    </row>
    <row r="19" spans="59:211">
      <c r="BG19" s="2"/>
      <c r="CL19" s="7"/>
      <c r="EQ19" s="49"/>
      <c r="ER19" s="49"/>
      <c r="ES19" s="49"/>
      <c r="ET19" s="49"/>
      <c r="EU19" s="49"/>
      <c r="FE19"/>
      <c r="FF19"/>
      <c r="FK19"/>
      <c r="FQ19" s="1"/>
      <c r="FR19"/>
      <c r="FS19"/>
      <c r="FT19"/>
      <c r="FU19"/>
      <c r="FV19"/>
      <c r="FW19"/>
      <c r="HC19">
        <v>12</v>
      </c>
    </row>
    <row r="20" spans="59:211">
      <c r="BG20" s="2"/>
      <c r="CL20" s="7"/>
      <c r="EQ20" s="49"/>
      <c r="ER20" s="49"/>
      <c r="ES20" s="49"/>
      <c r="ET20" s="49"/>
      <c r="EU20" s="49"/>
      <c r="FE20"/>
      <c r="FF20"/>
      <c r="FK20"/>
      <c r="FQ20" s="1"/>
      <c r="FR20"/>
      <c r="FS20"/>
      <c r="FT20"/>
      <c r="FU20"/>
      <c r="FV20"/>
      <c r="FW20"/>
      <c r="HC20">
        <v>13</v>
      </c>
    </row>
    <row r="21" spans="59:211">
      <c r="BG21" s="2"/>
      <c r="CL21" s="7"/>
      <c r="EQ21" s="49"/>
      <c r="ER21" s="49"/>
      <c r="ES21" s="49"/>
      <c r="ET21" s="49"/>
      <c r="EU21" s="49"/>
      <c r="FE21"/>
      <c r="FF21"/>
      <c r="FK21"/>
      <c r="FQ21" s="1"/>
      <c r="FR21"/>
      <c r="FS21"/>
      <c r="FT21"/>
      <c r="FU21"/>
      <c r="FV21"/>
      <c r="FW21"/>
      <c r="HC21">
        <v>14</v>
      </c>
    </row>
    <row r="22" spans="59:211">
      <c r="BG22" s="2"/>
      <c r="CL22" s="7"/>
      <c r="EQ22" s="49"/>
      <c r="ER22" s="49"/>
      <c r="ES22" s="49"/>
      <c r="ET22" s="49"/>
      <c r="EU22" s="49"/>
      <c r="FE22"/>
      <c r="FF22"/>
      <c r="FK22"/>
      <c r="FQ22" s="1"/>
      <c r="FR22"/>
      <c r="FS22"/>
      <c r="FT22"/>
      <c r="FU22"/>
      <c r="FV22"/>
      <c r="FW22"/>
      <c r="HC22">
        <v>15</v>
      </c>
    </row>
    <row r="23" spans="59:211">
      <c r="BG23" s="2"/>
      <c r="CL23" s="7"/>
      <c r="EQ23" s="49"/>
      <c r="ER23" s="49"/>
      <c r="ES23" s="49"/>
      <c r="ET23" s="49"/>
      <c r="EU23" s="49"/>
      <c r="FE23"/>
      <c r="FF23"/>
      <c r="FK23"/>
      <c r="FQ23" s="1"/>
      <c r="FR23"/>
      <c r="FS23"/>
      <c r="FT23"/>
      <c r="FU23"/>
      <c r="FV23"/>
      <c r="FW23"/>
      <c r="HC23">
        <v>16</v>
      </c>
    </row>
    <row r="24" spans="59:211">
      <c r="BG24" s="2"/>
      <c r="CL24" s="7"/>
      <c r="EQ24" s="49"/>
      <c r="ER24" s="49"/>
      <c r="ES24" s="49"/>
      <c r="ET24" s="49"/>
      <c r="EU24" s="49"/>
      <c r="FE24"/>
      <c r="FF24"/>
      <c r="FK24"/>
      <c r="FQ24" s="1"/>
      <c r="FR24"/>
      <c r="FS24"/>
      <c r="FT24"/>
      <c r="FU24"/>
      <c r="FV24"/>
      <c r="FW24"/>
      <c r="HC24">
        <v>17</v>
      </c>
    </row>
    <row r="25" spans="59:211">
      <c r="BG25" s="2"/>
      <c r="CL25" s="7"/>
      <c r="EQ25" s="49"/>
      <c r="ER25" s="49"/>
      <c r="ES25" s="49"/>
      <c r="ET25" s="49"/>
      <c r="EU25" s="49"/>
      <c r="FE25"/>
      <c r="FF25"/>
      <c r="FK25"/>
      <c r="FQ25" s="1"/>
      <c r="FR25"/>
      <c r="FS25"/>
      <c r="FT25"/>
      <c r="FU25"/>
      <c r="FV25"/>
      <c r="FW25"/>
      <c r="HC25">
        <v>18</v>
      </c>
    </row>
    <row r="26" spans="59:211">
      <c r="BG26" s="2"/>
      <c r="CL26" s="7"/>
      <c r="EQ26" s="49"/>
      <c r="ER26" s="49"/>
      <c r="ES26" s="49"/>
      <c r="ET26" s="49"/>
      <c r="EU26" s="49"/>
      <c r="FE26"/>
      <c r="FF26"/>
      <c r="FK26"/>
      <c r="FQ26" s="1"/>
      <c r="FR26"/>
      <c r="FS26"/>
      <c r="FT26"/>
      <c r="FU26"/>
      <c r="FV26"/>
      <c r="FW26"/>
      <c r="HC26">
        <v>19</v>
      </c>
    </row>
    <row r="27" spans="59:211">
      <c r="BG27" s="2"/>
      <c r="CL27" s="7"/>
      <c r="EQ27" s="49"/>
      <c r="ER27" s="49"/>
      <c r="ES27" s="49"/>
      <c r="ET27" s="49"/>
      <c r="EU27" s="49"/>
      <c r="FE27"/>
      <c r="FF27"/>
      <c r="FK27"/>
      <c r="FQ27" s="1"/>
      <c r="FR27"/>
      <c r="FS27"/>
      <c r="FT27"/>
      <c r="FU27"/>
      <c r="FV27"/>
      <c r="FW27"/>
      <c r="HC27">
        <v>20</v>
      </c>
    </row>
    <row r="28" spans="59:211">
      <c r="BG28" s="2"/>
      <c r="CL28" s="7"/>
      <c r="EQ28" s="49"/>
      <c r="ER28" s="49"/>
      <c r="ES28" s="49"/>
      <c r="ET28" s="49"/>
      <c r="EU28" s="49"/>
      <c r="FE28"/>
      <c r="FF28"/>
      <c r="FK28"/>
      <c r="FQ28" s="1"/>
      <c r="FR28"/>
      <c r="FS28"/>
      <c r="FT28"/>
      <c r="FU28"/>
      <c r="FV28"/>
      <c r="FW28"/>
      <c r="HC28">
        <v>21</v>
      </c>
    </row>
    <row r="29" spans="59:211">
      <c r="BG29" s="2"/>
      <c r="CL29" s="7"/>
      <c r="EQ29" s="49"/>
      <c r="ER29" s="49"/>
      <c r="ES29" s="49"/>
      <c r="ET29" s="49"/>
      <c r="EU29" s="49"/>
      <c r="FE29"/>
      <c r="FF29"/>
      <c r="FK29"/>
      <c r="FQ29" s="1"/>
      <c r="FR29"/>
      <c r="FS29"/>
      <c r="FT29"/>
      <c r="FU29"/>
      <c r="FV29"/>
      <c r="FW29"/>
      <c r="HC29">
        <v>22</v>
      </c>
    </row>
    <row r="30" spans="59:211">
      <c r="BG30" s="2"/>
      <c r="CL30" s="7"/>
      <c r="EQ30" s="49"/>
      <c r="ER30" s="49"/>
      <c r="ES30" s="49"/>
      <c r="ET30" s="49"/>
      <c r="EU30" s="49"/>
      <c r="FE30"/>
      <c r="FF30"/>
      <c r="FK30"/>
      <c r="FQ30" s="1"/>
      <c r="FR30"/>
      <c r="FS30"/>
      <c r="FT30"/>
      <c r="FU30"/>
      <c r="FV30"/>
      <c r="FW30"/>
      <c r="HC30">
        <v>23</v>
      </c>
    </row>
    <row r="31" spans="59:211">
      <c r="BG31" s="2"/>
      <c r="CL31" s="7"/>
      <c r="EQ31" s="49"/>
      <c r="ER31" s="49"/>
      <c r="ES31" s="49"/>
      <c r="ET31" s="49"/>
      <c r="EU31" s="49"/>
      <c r="FE31"/>
      <c r="FF31"/>
      <c r="FK31"/>
      <c r="FQ31" s="1"/>
      <c r="FR31"/>
      <c r="FS31"/>
      <c r="FT31"/>
      <c r="FU31"/>
      <c r="FV31"/>
      <c r="FW31"/>
      <c r="HC31">
        <v>24</v>
      </c>
    </row>
    <row r="32" spans="59:211">
      <c r="BG32" s="2"/>
      <c r="CL32" s="7"/>
      <c r="EQ32" s="49"/>
      <c r="ER32" s="49"/>
      <c r="ES32" s="49"/>
      <c r="ET32" s="49"/>
      <c r="EU32" s="49"/>
      <c r="FE32"/>
      <c r="FF32"/>
      <c r="FK32"/>
      <c r="FQ32" s="1"/>
      <c r="FR32"/>
      <c r="FS32"/>
      <c r="FT32"/>
      <c r="FU32"/>
      <c r="FV32"/>
      <c r="FW32"/>
      <c r="HC32">
        <v>25</v>
      </c>
    </row>
    <row r="33" spans="59:253">
      <c r="BG33" s="2"/>
      <c r="CL33" s="7"/>
      <c r="EQ33" s="49"/>
      <c r="ER33" s="49"/>
      <c r="ES33" s="49"/>
      <c r="ET33" s="49"/>
      <c r="EU33" s="49"/>
      <c r="FE33"/>
      <c r="FF33"/>
      <c r="FK33"/>
      <c r="FQ33" s="1"/>
      <c r="FR33"/>
      <c r="FS33"/>
      <c r="FT33"/>
      <c r="FU33"/>
      <c r="FV33"/>
      <c r="FW33"/>
      <c r="HC33">
        <v>26</v>
      </c>
    </row>
    <row r="34" spans="59:253">
      <c r="BG34" s="2"/>
      <c r="CL34" s="7"/>
      <c r="EQ34" s="49"/>
      <c r="ER34" s="49"/>
      <c r="ES34" s="49"/>
      <c r="ET34" s="49"/>
      <c r="EU34" s="49"/>
      <c r="FE34"/>
      <c r="FF34"/>
      <c r="FK34"/>
      <c r="FQ34" s="1"/>
      <c r="FR34"/>
      <c r="FS34"/>
      <c r="FT34"/>
      <c r="FU34"/>
      <c r="FV34"/>
      <c r="FW34"/>
      <c r="HC34">
        <v>27</v>
      </c>
    </row>
    <row r="35" spans="59:253">
      <c r="BG35" s="2"/>
      <c r="CL35" s="7"/>
      <c r="EQ35" s="49"/>
      <c r="ER35" s="49"/>
      <c r="ES35" s="49"/>
      <c r="ET35" s="49"/>
      <c r="EU35" s="49"/>
      <c r="FE35"/>
      <c r="FF35"/>
      <c r="FK35"/>
      <c r="FQ35" s="1"/>
      <c r="FR35"/>
      <c r="FS35"/>
      <c r="FT35"/>
      <c r="FU35"/>
      <c r="FV35"/>
      <c r="FW35"/>
      <c r="HC35">
        <v>28</v>
      </c>
    </row>
    <row r="36" spans="59:253">
      <c r="BG36" s="2"/>
      <c r="CL36" s="7"/>
      <c r="EQ36" s="49"/>
      <c r="ER36" s="49"/>
      <c r="ES36" s="49"/>
      <c r="ET36" s="49"/>
      <c r="EU36" s="49"/>
      <c r="FE36"/>
      <c r="FF36"/>
      <c r="FK36"/>
      <c r="FQ36" s="1"/>
      <c r="FR36"/>
      <c r="FS36"/>
      <c r="FT36"/>
      <c r="FU36"/>
      <c r="FV36"/>
      <c r="FW36"/>
      <c r="GM36">
        <v>1</v>
      </c>
      <c r="GN36">
        <v>2</v>
      </c>
      <c r="GO36">
        <v>3</v>
      </c>
      <c r="GP36">
        <v>4</v>
      </c>
      <c r="GQ36">
        <v>5</v>
      </c>
      <c r="GR36">
        <v>6</v>
      </c>
      <c r="GS36">
        <v>7</v>
      </c>
      <c r="GT36">
        <v>8</v>
      </c>
      <c r="GU36">
        <v>9</v>
      </c>
      <c r="GV36">
        <v>10</v>
      </c>
      <c r="GW36">
        <v>11</v>
      </c>
      <c r="GX36">
        <v>12</v>
      </c>
      <c r="GY36">
        <v>13</v>
      </c>
      <c r="GZ36">
        <v>14</v>
      </c>
      <c r="HA36">
        <v>15</v>
      </c>
      <c r="HB36">
        <v>16</v>
      </c>
      <c r="HI36">
        <v>1</v>
      </c>
      <c r="HJ36">
        <v>2</v>
      </c>
      <c r="HK36">
        <v>3</v>
      </c>
      <c r="HL36">
        <v>4</v>
      </c>
      <c r="HM36">
        <v>5</v>
      </c>
      <c r="HN36">
        <v>6</v>
      </c>
      <c r="HO36">
        <v>7</v>
      </c>
      <c r="HP36">
        <v>8</v>
      </c>
      <c r="HQ36">
        <v>9</v>
      </c>
      <c r="HR36">
        <v>10</v>
      </c>
      <c r="HS36">
        <v>11</v>
      </c>
      <c r="HT36">
        <v>12</v>
      </c>
      <c r="HU36">
        <v>13</v>
      </c>
      <c r="HV36">
        <v>14</v>
      </c>
      <c r="HW36">
        <v>15</v>
      </c>
      <c r="HX36">
        <v>16</v>
      </c>
    </row>
    <row r="37" spans="59:253">
      <c r="BG37" s="2"/>
      <c r="CL37" s="7"/>
      <c r="EQ37" s="49"/>
      <c r="ER37" s="49"/>
      <c r="ES37" s="49"/>
      <c r="ET37" s="49"/>
      <c r="EU37" s="49"/>
      <c r="FE37"/>
      <c r="FF37"/>
      <c r="FK37"/>
      <c r="FQ37" s="1"/>
      <c r="FR37"/>
      <c r="FS37"/>
      <c r="FT37"/>
      <c r="FU37"/>
      <c r="FV37"/>
      <c r="FW37"/>
    </row>
    <row r="38" spans="59:253">
      <c r="BG38" s="2"/>
      <c r="CL38" s="7"/>
      <c r="EQ38" s="49"/>
      <c r="ER38" s="49"/>
      <c r="ES38" s="49"/>
      <c r="ET38" s="49"/>
      <c r="EU38" s="49"/>
      <c r="FE38"/>
      <c r="FF38"/>
      <c r="FK38"/>
      <c r="FQ38" s="1"/>
      <c r="FR38"/>
      <c r="FS38"/>
      <c r="FT38"/>
      <c r="FU38"/>
      <c r="FV38"/>
      <c r="FW38"/>
      <c r="HZ38">
        <v>1</v>
      </c>
      <c r="IA38">
        <v>2</v>
      </c>
      <c r="IB38">
        <v>3</v>
      </c>
      <c r="IC38">
        <v>4</v>
      </c>
      <c r="ID38">
        <v>5</v>
      </c>
      <c r="IE38">
        <v>6</v>
      </c>
      <c r="IF38">
        <v>7</v>
      </c>
      <c r="IG38">
        <v>8</v>
      </c>
      <c r="IH38">
        <v>9</v>
      </c>
      <c r="II38">
        <v>10</v>
      </c>
      <c r="IJ38">
        <v>11</v>
      </c>
      <c r="IK38">
        <v>12</v>
      </c>
      <c r="IL38">
        <v>13</v>
      </c>
      <c r="IM38">
        <v>14</v>
      </c>
      <c r="IN38">
        <v>15</v>
      </c>
      <c r="IO38">
        <v>16</v>
      </c>
      <c r="IP38">
        <v>17</v>
      </c>
    </row>
    <row r="39" spans="59:253">
      <c r="BG39" s="2"/>
      <c r="CL39" s="7"/>
      <c r="EQ39" s="49"/>
      <c r="ER39" s="49"/>
      <c r="ES39" s="49"/>
      <c r="ET39" s="49"/>
      <c r="EU39" s="49"/>
      <c r="FE39"/>
      <c r="FF39"/>
      <c r="FK39"/>
      <c r="FQ39" s="1"/>
      <c r="FR39"/>
      <c r="FS39"/>
      <c r="FT39"/>
      <c r="FU39"/>
      <c r="FV39"/>
      <c r="FW39"/>
    </row>
    <row r="40" spans="59:253">
      <c r="BG40" s="2"/>
      <c r="CL40" s="7"/>
      <c r="EQ40" s="49"/>
      <c r="ER40" s="49"/>
      <c r="ES40" s="49"/>
      <c r="ET40" s="49"/>
      <c r="EU40" s="49"/>
      <c r="FE40"/>
      <c r="FF40"/>
      <c r="FK40"/>
      <c r="FQ40" s="1"/>
      <c r="FR40"/>
      <c r="FS40"/>
      <c r="FT40"/>
      <c r="FU40"/>
      <c r="FV40"/>
      <c r="FW40"/>
    </row>
    <row r="41" spans="59:253">
      <c r="BG41" s="2"/>
      <c r="CL41" s="7"/>
      <c r="EQ41" s="49"/>
      <c r="ER41" s="49"/>
      <c r="ES41" s="49"/>
      <c r="ET41" s="49"/>
      <c r="EU41" s="49"/>
      <c r="FE41"/>
      <c r="FF41"/>
      <c r="FK41"/>
      <c r="FQ41" s="1"/>
      <c r="FR41"/>
      <c r="FS41"/>
      <c r="FT41"/>
      <c r="FU41"/>
      <c r="FV41"/>
      <c r="FW41"/>
      <c r="IS41">
        <v>1</v>
      </c>
    </row>
    <row r="42" spans="59:253">
      <c r="BG42" s="2"/>
      <c r="CL42" s="7"/>
      <c r="EQ42" s="49"/>
      <c r="ER42" s="49"/>
      <c r="ES42" s="49"/>
      <c r="ET42" s="49"/>
      <c r="EU42" s="49"/>
      <c r="FE42"/>
      <c r="FF42"/>
      <c r="FK42"/>
      <c r="FQ42" s="1"/>
      <c r="FR42"/>
      <c r="FS42"/>
      <c r="FT42"/>
      <c r="FU42"/>
      <c r="FV42"/>
      <c r="FW42"/>
      <c r="IS42">
        <v>2</v>
      </c>
    </row>
    <row r="43" spans="59:253">
      <c r="BG43" s="2"/>
      <c r="CL43" s="7"/>
      <c r="EQ43" s="49"/>
      <c r="ER43" s="49"/>
      <c r="ES43" s="49"/>
      <c r="ET43" s="49"/>
      <c r="EU43" s="49"/>
      <c r="FE43"/>
      <c r="FF43"/>
      <c r="FK43"/>
      <c r="FQ43" s="1"/>
      <c r="FR43"/>
      <c r="FS43"/>
      <c r="FT43"/>
      <c r="FU43"/>
      <c r="FV43"/>
      <c r="FW43"/>
      <c r="IS43">
        <v>3</v>
      </c>
    </row>
    <row r="44" spans="59:253">
      <c r="BG44" s="2"/>
      <c r="CL44" s="7"/>
      <c r="EQ44" s="49"/>
      <c r="ER44" s="49"/>
      <c r="ES44" s="49"/>
      <c r="ET44" s="49"/>
      <c r="EU44" s="49"/>
      <c r="FE44"/>
      <c r="FF44"/>
      <c r="FK44"/>
      <c r="FQ44" s="1"/>
      <c r="FR44"/>
      <c r="FS44"/>
      <c r="FT44"/>
      <c r="FU44"/>
      <c r="FV44"/>
      <c r="FW44"/>
      <c r="IS44">
        <v>4</v>
      </c>
    </row>
    <row r="45" spans="59:253">
      <c r="BG45" s="2"/>
      <c r="CL45" s="7"/>
      <c r="EQ45" s="49"/>
      <c r="ER45" s="49"/>
      <c r="ES45" s="49"/>
      <c r="ET45" s="49"/>
      <c r="EU45" s="49"/>
      <c r="FE45"/>
      <c r="FF45"/>
      <c r="FK45"/>
      <c r="FQ45" s="1"/>
      <c r="FR45"/>
      <c r="FS45"/>
      <c r="FT45"/>
      <c r="FU45"/>
      <c r="FV45"/>
      <c r="FW45"/>
      <c r="IS45">
        <v>5</v>
      </c>
    </row>
    <row r="46" spans="59:253">
      <c r="BG46" s="2"/>
      <c r="CL46" s="7"/>
      <c r="EQ46" s="49"/>
      <c r="ER46" s="49"/>
      <c r="ES46" s="49"/>
      <c r="ET46" s="49"/>
      <c r="EU46" s="49"/>
      <c r="FE46"/>
      <c r="FF46"/>
      <c r="FK46"/>
      <c r="FQ46" s="1"/>
      <c r="FR46"/>
      <c r="FS46"/>
      <c r="FT46"/>
      <c r="FU46"/>
      <c r="FV46"/>
      <c r="FW46"/>
      <c r="IS46">
        <v>6</v>
      </c>
    </row>
    <row r="47" spans="59:253">
      <c r="BG47" s="2"/>
      <c r="CL47" s="7"/>
      <c r="EQ47" s="49"/>
      <c r="ER47" s="49"/>
      <c r="ES47" s="49"/>
      <c r="ET47" s="49"/>
      <c r="EU47" s="49"/>
      <c r="FE47"/>
      <c r="FF47"/>
      <c r="FK47"/>
      <c r="FQ47" s="1"/>
      <c r="FR47"/>
      <c r="FS47"/>
      <c r="FT47"/>
      <c r="FU47"/>
      <c r="FV47"/>
      <c r="FW47"/>
      <c r="IS47">
        <v>7</v>
      </c>
    </row>
    <row r="48" spans="59:253">
      <c r="BG48" s="2"/>
      <c r="CL48" s="7"/>
      <c r="EQ48" s="49"/>
      <c r="ER48" s="49"/>
      <c r="ES48" s="49"/>
      <c r="ET48" s="49"/>
      <c r="EU48" s="49"/>
      <c r="FE48"/>
      <c r="FF48"/>
      <c r="FK48"/>
      <c r="FQ48" s="1"/>
      <c r="FR48"/>
      <c r="FS48"/>
      <c r="FT48"/>
      <c r="FU48"/>
      <c r="FV48"/>
      <c r="FW48"/>
      <c r="IS48">
        <v>8</v>
      </c>
    </row>
    <row r="49" spans="59:253">
      <c r="BG49" s="2"/>
      <c r="CL49" s="7"/>
      <c r="EQ49" s="49"/>
      <c r="ER49" s="49"/>
      <c r="ES49" s="49"/>
      <c r="ET49" s="49"/>
      <c r="EU49" s="49"/>
      <c r="FE49"/>
      <c r="FF49"/>
      <c r="FK49"/>
      <c r="FQ49" s="1"/>
      <c r="FR49"/>
      <c r="FS49"/>
      <c r="FT49"/>
      <c r="FU49"/>
      <c r="FV49"/>
      <c r="FW49"/>
      <c r="IS49">
        <v>9</v>
      </c>
    </row>
    <row r="50" spans="59:253">
      <c r="BG50" s="2"/>
      <c r="CL50" s="7"/>
      <c r="EQ50" s="49"/>
      <c r="ER50" s="49"/>
      <c r="ES50" s="49"/>
      <c r="ET50" s="49"/>
      <c r="EU50" s="49"/>
      <c r="FE50"/>
      <c r="FF50"/>
      <c r="FK50"/>
      <c r="FQ50" s="1"/>
      <c r="FR50"/>
      <c r="FS50"/>
      <c r="FT50"/>
      <c r="FU50"/>
      <c r="FV50"/>
      <c r="FW50"/>
      <c r="IS50">
        <v>10</v>
      </c>
    </row>
    <row r="51" spans="59:253">
      <c r="BG51" s="2"/>
      <c r="CL51" s="7"/>
      <c r="EQ51" s="49"/>
      <c r="ER51" s="49"/>
      <c r="ES51" s="49"/>
      <c r="ET51" s="49"/>
      <c r="EU51" s="49"/>
      <c r="FE51"/>
      <c r="FF51"/>
      <c r="FK51"/>
      <c r="FQ51" s="1"/>
      <c r="FR51"/>
      <c r="FS51"/>
      <c r="FT51"/>
      <c r="FU51"/>
      <c r="FV51"/>
      <c r="FW51"/>
      <c r="IS51">
        <v>11</v>
      </c>
    </row>
    <row r="52" spans="59:253">
      <c r="BG52" s="2"/>
      <c r="CL52" s="7"/>
      <c r="EQ52" s="49"/>
      <c r="ER52" s="49"/>
      <c r="ES52" s="49"/>
      <c r="ET52" s="49"/>
      <c r="EU52" s="49"/>
      <c r="FE52"/>
      <c r="FF52"/>
      <c r="FK52"/>
      <c r="FQ52" s="1"/>
      <c r="FR52"/>
      <c r="FS52"/>
      <c r="FT52"/>
      <c r="FU52"/>
      <c r="FV52"/>
      <c r="FW52"/>
      <c r="IS52">
        <v>12</v>
      </c>
    </row>
    <row r="53" spans="59:253">
      <c r="BG53" s="2"/>
      <c r="CL53" s="7"/>
      <c r="EQ53" s="49"/>
      <c r="ER53" s="49"/>
      <c r="ES53" s="49"/>
      <c r="ET53" s="49"/>
      <c r="EU53" s="49"/>
      <c r="FE53"/>
      <c r="FF53"/>
      <c r="FK53"/>
      <c r="FQ53" s="1"/>
      <c r="FR53"/>
      <c r="FS53"/>
      <c r="FT53"/>
      <c r="FU53"/>
      <c r="FV53"/>
      <c r="FW53"/>
      <c r="IS53">
        <v>13</v>
      </c>
    </row>
    <row r="54" spans="59:253">
      <c r="BG54" s="2"/>
      <c r="CL54" s="7"/>
      <c r="EQ54" s="49"/>
      <c r="ER54" s="49"/>
      <c r="ES54" s="49"/>
      <c r="ET54" s="49"/>
      <c r="EU54" s="49"/>
      <c r="FE54"/>
      <c r="FF54"/>
      <c r="FK54"/>
      <c r="FQ54" s="1"/>
      <c r="FR54"/>
      <c r="FS54"/>
      <c r="FT54"/>
      <c r="FU54"/>
      <c r="FV54"/>
      <c r="FW54"/>
      <c r="IS54">
        <v>14</v>
      </c>
    </row>
    <row r="55" spans="59:253">
      <c r="BG55" s="2"/>
      <c r="CL55" s="7"/>
      <c r="EQ55" s="49"/>
      <c r="ER55" s="49"/>
      <c r="ES55" s="49"/>
      <c r="ET55" s="49"/>
      <c r="EU55" s="49"/>
      <c r="FE55"/>
      <c r="FF55"/>
      <c r="FK55"/>
      <c r="FQ55" s="1"/>
      <c r="FR55"/>
      <c r="FS55"/>
      <c r="FT55"/>
      <c r="FU55"/>
      <c r="FV55"/>
      <c r="FW55"/>
      <c r="IS55">
        <v>15</v>
      </c>
    </row>
    <row r="56" spans="59:253">
      <c r="BG56" s="2"/>
      <c r="CL56" s="7"/>
      <c r="EQ56" s="49"/>
      <c r="ER56" s="49"/>
      <c r="ES56" s="49"/>
      <c r="ET56" s="49"/>
      <c r="EU56" s="49"/>
      <c r="FE56"/>
      <c r="FF56"/>
      <c r="FK56"/>
      <c r="FQ56" s="1"/>
      <c r="FR56"/>
      <c r="FS56"/>
      <c r="FT56"/>
      <c r="FU56"/>
      <c r="FV56"/>
      <c r="FW56"/>
      <c r="IS56">
        <v>16</v>
      </c>
    </row>
    <row r="57" spans="59:253">
      <c r="BG57" s="2"/>
      <c r="CL57" s="7"/>
      <c r="EQ57" s="49"/>
      <c r="ER57" s="49"/>
      <c r="ES57" s="49"/>
      <c r="ET57" s="49"/>
      <c r="EU57" s="49"/>
      <c r="FE57"/>
      <c r="FF57"/>
      <c r="FK57"/>
      <c r="FQ57" s="1"/>
      <c r="FR57"/>
      <c r="FS57"/>
      <c r="FT57"/>
      <c r="FU57"/>
      <c r="FV57"/>
      <c r="FW57"/>
      <c r="IS57">
        <v>17</v>
      </c>
    </row>
    <row r="58" spans="59:253">
      <c r="BG58" s="2"/>
      <c r="CL58" s="7"/>
      <c r="EQ58" s="49"/>
      <c r="ER58" s="49"/>
      <c r="ES58" s="49"/>
      <c r="ET58" s="49"/>
      <c r="EU58" s="49"/>
      <c r="FE58"/>
      <c r="FF58"/>
      <c r="FK58"/>
      <c r="FQ58" s="1"/>
      <c r="FR58"/>
      <c r="FS58"/>
      <c r="FT58"/>
      <c r="FU58"/>
      <c r="FV58"/>
      <c r="FW58"/>
      <c r="IS58">
        <v>18</v>
      </c>
    </row>
    <row r="59" spans="59:253">
      <c r="BG59" s="2"/>
      <c r="CL59" s="7"/>
      <c r="EQ59" s="49"/>
      <c r="ER59" s="49"/>
      <c r="ES59" s="49"/>
      <c r="ET59" s="49"/>
      <c r="EU59" s="49"/>
      <c r="FE59"/>
      <c r="FF59"/>
      <c r="FK59"/>
      <c r="FQ59" s="1"/>
      <c r="FR59"/>
      <c r="FS59"/>
      <c r="FT59"/>
      <c r="FU59"/>
      <c r="FV59"/>
      <c r="FW59"/>
      <c r="IS59">
        <v>19</v>
      </c>
    </row>
    <row r="60" spans="59:253">
      <c r="BG60" s="2"/>
      <c r="CL60" s="7"/>
      <c r="EQ60" s="49"/>
      <c r="ER60" s="49"/>
      <c r="ES60" s="49"/>
      <c r="ET60" s="49"/>
      <c r="EU60" s="49"/>
      <c r="FE60"/>
      <c r="FF60"/>
      <c r="FK60"/>
      <c r="FQ60" s="1"/>
      <c r="FR60"/>
      <c r="FS60"/>
      <c r="FT60"/>
      <c r="FU60"/>
      <c r="FV60"/>
      <c r="FW60"/>
      <c r="IS60">
        <v>20</v>
      </c>
    </row>
    <row r="61" spans="59:253">
      <c r="BG61" s="2"/>
      <c r="CL61" s="7"/>
      <c r="EQ61" s="49"/>
      <c r="ER61" s="49"/>
      <c r="ES61" s="49"/>
      <c r="ET61" s="49"/>
      <c r="EU61" s="49"/>
      <c r="FE61"/>
      <c r="FF61"/>
      <c r="FK61"/>
      <c r="FQ61" s="1"/>
      <c r="FR61"/>
      <c r="FS61"/>
      <c r="FT61"/>
      <c r="FU61"/>
      <c r="FV61"/>
      <c r="FW61"/>
      <c r="IS61">
        <v>21</v>
      </c>
    </row>
    <row r="62" spans="59:253">
      <c r="BG62" s="2"/>
      <c r="CL62" s="7"/>
      <c r="EQ62" s="49"/>
      <c r="ER62" s="49"/>
      <c r="ES62" s="49"/>
      <c r="ET62" s="49"/>
      <c r="EU62" s="49"/>
      <c r="FE62"/>
      <c r="FF62"/>
      <c r="FK62"/>
      <c r="FQ62" s="1"/>
      <c r="FR62"/>
      <c r="FS62"/>
      <c r="FT62"/>
      <c r="FU62"/>
      <c r="FV62"/>
      <c r="FW62"/>
      <c r="IS62">
        <v>22</v>
      </c>
    </row>
    <row r="63" spans="59:253">
      <c r="BG63" s="2"/>
      <c r="CL63" s="7"/>
      <c r="EQ63" s="49"/>
      <c r="ER63" s="49"/>
      <c r="ES63" s="49"/>
      <c r="ET63" s="49"/>
      <c r="EU63" s="49"/>
      <c r="FE63"/>
      <c r="FF63"/>
      <c r="FK63"/>
      <c r="FQ63" s="1"/>
      <c r="FR63"/>
      <c r="FS63"/>
      <c r="FT63"/>
      <c r="FU63"/>
      <c r="FV63"/>
      <c r="FW63"/>
      <c r="IS63">
        <v>23</v>
      </c>
    </row>
    <row r="64" spans="59:253">
      <c r="BG64" s="2"/>
      <c r="CL64" s="7"/>
      <c r="EQ64" s="49"/>
      <c r="ER64" s="49"/>
      <c r="ES64" s="49"/>
      <c r="ET64" s="49"/>
      <c r="EU64" s="49"/>
      <c r="FE64"/>
      <c r="FF64"/>
      <c r="FK64"/>
      <c r="FQ64" s="1"/>
      <c r="FR64"/>
      <c r="FS64"/>
      <c r="FT64"/>
      <c r="FU64"/>
      <c r="FV64"/>
      <c r="FW64"/>
      <c r="IS64">
        <v>24</v>
      </c>
    </row>
    <row r="65" spans="1:253">
      <c r="BG65" s="2"/>
      <c r="CL65" s="7"/>
      <c r="EQ65" s="49"/>
      <c r="ER65" s="49"/>
      <c r="ES65" s="49"/>
      <c r="ET65" s="49"/>
      <c r="EU65" s="49"/>
      <c r="FE65"/>
      <c r="FF65"/>
      <c r="FK65"/>
      <c r="FQ65" s="1"/>
      <c r="FR65"/>
      <c r="FS65"/>
      <c r="FT65"/>
      <c r="FU65"/>
      <c r="FV65"/>
      <c r="FW65"/>
      <c r="IS65">
        <v>25</v>
      </c>
    </row>
    <row r="66" spans="1:253">
      <c r="BG66" s="2"/>
      <c r="CL66" s="7"/>
      <c r="EQ66" s="49"/>
      <c r="ER66" s="49"/>
      <c r="ES66" s="49"/>
      <c r="ET66" s="49"/>
      <c r="EU66" s="49"/>
      <c r="FE66"/>
      <c r="FF66"/>
      <c r="FK66"/>
      <c r="FQ66" s="1"/>
      <c r="FR66"/>
      <c r="FS66"/>
      <c r="FT66"/>
      <c r="FU66"/>
      <c r="FV66"/>
      <c r="FW66"/>
      <c r="IS66">
        <v>26</v>
      </c>
    </row>
    <row r="67" spans="1:253">
      <c r="BG67" s="2"/>
      <c r="CL67" s="7"/>
      <c r="EQ67" s="49"/>
      <c r="ER67" s="49"/>
      <c r="ES67" s="49"/>
      <c r="ET67" s="49"/>
      <c r="EU67" s="49"/>
      <c r="FE67"/>
      <c r="FF67"/>
      <c r="FK67"/>
      <c r="FQ67" s="1"/>
      <c r="FR67"/>
      <c r="FS67"/>
      <c r="FT67"/>
      <c r="FU67"/>
      <c r="FV67"/>
      <c r="FW67"/>
      <c r="IS67">
        <v>27</v>
      </c>
    </row>
    <row r="68" spans="1:253">
      <c r="A68" s="21" t="s">
        <v>83</v>
      </c>
      <c r="B68" s="1" t="s">
        <v>86</v>
      </c>
      <c r="C68" s="21" t="s">
        <v>82</v>
      </c>
      <c r="D68" s="99" t="s">
        <v>85</v>
      </c>
      <c r="E68" s="21" t="s">
        <v>81</v>
      </c>
      <c r="F68" s="21" t="s">
        <v>80</v>
      </c>
      <c r="G68" s="96">
        <f t="shared" ref="G68:G73" si="0">8*54</f>
        <v>432</v>
      </c>
      <c r="H68" s="21">
        <v>6</v>
      </c>
      <c r="I68" s="21">
        <v>8</v>
      </c>
      <c r="J68" s="21">
        <f t="shared" ref="J68:J73" si="1">H68*I68</f>
        <v>48</v>
      </c>
      <c r="K68" s="21" t="s">
        <v>84</v>
      </c>
      <c r="L68" s="21" t="s">
        <v>84</v>
      </c>
      <c r="M68" s="85">
        <v>0.1</v>
      </c>
      <c r="N68" s="21"/>
      <c r="O68" s="21"/>
      <c r="P68" s="21"/>
      <c r="Q68" s="21"/>
      <c r="R68" s="21"/>
      <c r="S68" s="21"/>
      <c r="T68" s="21"/>
      <c r="U68" s="21" t="s">
        <v>79</v>
      </c>
      <c r="V68" s="21">
        <f t="shared" ref="V68:V73" si="2">G68/(H68*I68)</f>
        <v>9</v>
      </c>
      <c r="W68" s="21" t="s">
        <v>5</v>
      </c>
      <c r="X68" s="36">
        <v>3.7</v>
      </c>
      <c r="Y68" s="21" t="s">
        <v>57</v>
      </c>
      <c r="Z68" s="21" t="s">
        <v>59</v>
      </c>
      <c r="AA68" s="91"/>
      <c r="AB68" s="52">
        <v>35558.987349537034</v>
      </c>
      <c r="AC68" s="52">
        <v>35560.85533564815</v>
      </c>
      <c r="AD68" s="21">
        <v>22</v>
      </c>
      <c r="AE68" s="21"/>
      <c r="AF68" s="21"/>
      <c r="AG68" s="21"/>
      <c r="AH68" s="53"/>
      <c r="AI68" t="b">
        <v>0</v>
      </c>
      <c r="AJ68">
        <v>2.9</v>
      </c>
      <c r="AK68" s="16">
        <f t="shared" ref="AK68:AK73" si="3">AL68/J68</f>
        <v>26.099999999999998</v>
      </c>
      <c r="AL68" s="7">
        <f t="shared" ref="AL68:AL73" si="4">AJ68*$G68</f>
        <v>1252.8</v>
      </c>
      <c r="AN68" s="21">
        <f t="shared" ref="AN68:AN73" si="5">AL68+AD68*J68</f>
        <v>2308.8000000000002</v>
      </c>
      <c r="AO68" s="21">
        <v>2.0198581197512633</v>
      </c>
      <c r="AP68" s="21"/>
      <c r="AQ68" s="21"/>
      <c r="AR68" s="21"/>
      <c r="AS68" s="45">
        <f t="shared" ref="AS68:AS73" si="6">AV68/(G68/10000)</f>
        <v>20.198581197512631</v>
      </c>
      <c r="AT68" s="21">
        <f t="shared" ref="AT68:AT73" si="7">AO68*G68</f>
        <v>872.57870773254569</v>
      </c>
      <c r="AU68">
        <f t="shared" ref="AU68:AU73" si="8">AT68/AL68*1000</f>
        <v>696.50279991422872</v>
      </c>
      <c r="AV68" s="21">
        <f t="shared" ref="AV68:AV73" si="9">AO68*$G68/1000</f>
        <v>0.87257870773254564</v>
      </c>
      <c r="AW68">
        <v>29.090499999999999</v>
      </c>
      <c r="AX68" s="7">
        <f t="shared" ref="AX68:AX73" si="10">AW68/(1+DB68*AV68/AL68)</f>
        <v>28.929305263077541</v>
      </c>
      <c r="AY68" s="21">
        <f t="shared" ref="AY68:AY73" si="11">AX68*AL68/AN68</f>
        <v>15.697606390152261</v>
      </c>
      <c r="BA68" s="7">
        <f t="shared" ref="BA68:BA73" si="12">AX68*DB68</f>
        <v>231.43444210462033</v>
      </c>
      <c r="BB68" s="8">
        <f t="shared" ref="BB68:BB73" si="13">BA68</f>
        <v>231.43444210462033</v>
      </c>
      <c r="BC68">
        <f t="shared" ref="BC68:BC73" si="14">AL68*AW68/1000</f>
        <v>36.444578399999997</v>
      </c>
      <c r="BF68" s="39">
        <f t="shared" ref="BF68:BF73" si="15">AL68*AX68/1000</f>
        <v>36.242633633583544</v>
      </c>
      <c r="BG68" s="7">
        <f t="shared" ref="BG68:BG73" si="16">BA68/1000*AV68</f>
        <v>0.20194476641645226</v>
      </c>
      <c r="BH68" s="13">
        <v>1</v>
      </c>
      <c r="BI68" s="21"/>
      <c r="BJ68" s="21">
        <f t="shared" ref="BJ68:BJ73" si="17">BH68*$G68</f>
        <v>432</v>
      </c>
      <c r="BK68" s="13">
        <v>0.23155781097395933</v>
      </c>
      <c r="BL68" s="13"/>
      <c r="BM68" s="13"/>
      <c r="BN68" s="13"/>
      <c r="BO68" s="13"/>
      <c r="BP68" s="13"/>
      <c r="BQ68" s="45">
        <f t="shared" ref="BQ68:BQ73" si="18">BR68*1000</f>
        <v>100.03297434075043</v>
      </c>
      <c r="BR68" s="21">
        <f t="shared" ref="BR68:BR73" si="19">BK68*$G68/1000</f>
        <v>0.10003297434075042</v>
      </c>
      <c r="BS68">
        <v>19.314499999999999</v>
      </c>
      <c r="BT68" s="7">
        <f t="shared" ref="BT68:BT73" si="20">BS68/(1+DB68*BR68/BJ68)</f>
        <v>19.278786770697149</v>
      </c>
      <c r="BV68" s="7">
        <f t="shared" ref="BV68:BV73" si="21">BT68*DB68</f>
        <v>154.23029416557719</v>
      </c>
      <c r="BW68" s="13">
        <f t="shared" ref="BW68:BW73" si="22">BJ68*BS68/1000</f>
        <v>8.3438639999999999</v>
      </c>
      <c r="BX68" s="13"/>
      <c r="BZ68" s="90">
        <f t="shared" ref="BZ68:BZ73" si="23">BT68/1000*BJ68</f>
        <v>8.3284358849411682</v>
      </c>
      <c r="CA68" s="7">
        <f t="shared" ref="CA68:CA73" si="24">BV68/1000*BR68</f>
        <v>1.5428115058831572E-2</v>
      </c>
      <c r="CB68" s="38">
        <f t="shared" ref="CB68:CB73" si="25">IFERROR((BF68-BZ68)/BF68*100,-99999)</f>
        <v>77.020334755077556</v>
      </c>
      <c r="CC68" s="35" t="b">
        <f t="shared" ref="CC68:CC73" si="26">AND(CB68&gt;=0,TRUE)</f>
        <v>1</v>
      </c>
      <c r="CD68" s="35" t="b">
        <f t="shared" ref="CD68:CD73" si="27">IFERROR(CC68,FALSE)</f>
        <v>1</v>
      </c>
      <c r="CE68" s="38">
        <f t="shared" ref="CE68:CE73" si="28">(BG68-CA68)/BG68*100</f>
        <v>92.360230308214284</v>
      </c>
      <c r="CF68" s="35" t="b">
        <f t="shared" ref="CF68:CF73" si="29">AND(CE68&gt;=0,TRUE)</f>
        <v>1</v>
      </c>
      <c r="CG68" s="35" t="b">
        <f t="shared" ref="CG68:CG73" si="30">IFERROR(CF68,FALSE)</f>
        <v>1</v>
      </c>
      <c r="CH68" s="1">
        <f t="shared" ref="CH68:CH73" si="31">(AN68-BJ68)/AN68*100</f>
        <v>81.28898128898129</v>
      </c>
      <c r="CI68" s="16">
        <f t="shared" ref="CI68:CI73" si="32">IFERROR((AV68-BR68)/AV68*100,-99999)</f>
        <v>88.535936821024109</v>
      </c>
      <c r="CJ68" s="35" t="b">
        <f t="shared" ref="CJ68:CJ73" si="33">AND(CI68&gt;=0,TRUE)</f>
        <v>1</v>
      </c>
      <c r="CK68" s="35" t="b">
        <f t="shared" ref="CK68:CK73" si="34">IFERROR(CJ68,FALSE)</f>
        <v>1</v>
      </c>
      <c r="CL68" s="32">
        <f t="shared" ref="CL68:CL73" si="35">(AL68-BJ68)/AL68*100</f>
        <v>65.517241379310349</v>
      </c>
      <c r="CM68" s="32">
        <f t="shared" ref="CM68:CM73" si="36">(BC68-BW68)/BC68*100</f>
        <v>77.105335371364873</v>
      </c>
      <c r="CN68" s="35" t="b">
        <f t="shared" ref="CN68:CN73" si="37">AND(CM68&gt;=0,TRUE)</f>
        <v>1</v>
      </c>
      <c r="CO68" s="35" t="b">
        <f t="shared" ref="CO68:CO73" si="38">IFERROR(CN68,FALSE)</f>
        <v>1</v>
      </c>
      <c r="CP68">
        <f t="shared" ref="CP68:CP73" si="39">YEAR(AC68)</f>
        <v>1997</v>
      </c>
      <c r="CQ68" s="52">
        <v>35491</v>
      </c>
      <c r="CR68" s="88">
        <f t="shared" ref="CR68:CR73" si="40">AC68-CQ68</f>
        <v>69.855335648149776</v>
      </c>
      <c r="CS68" t="str">
        <f t="shared" ref="CS68:CS73" si="41">K68</f>
        <v>IPU</v>
      </c>
      <c r="CT68">
        <f t="shared" ref="CT68:CT73" si="42">H68</f>
        <v>6</v>
      </c>
      <c r="CU68" s="89"/>
      <c r="CV68" s="89"/>
      <c r="CW68">
        <v>0.9</v>
      </c>
      <c r="CX68">
        <v>81</v>
      </c>
      <c r="CY68" s="21" t="s">
        <v>78</v>
      </c>
      <c r="CZ68">
        <v>11</v>
      </c>
      <c r="DA68" s="1">
        <f t="shared" ref="DA68:DA73" si="43">AN68</f>
        <v>2308.8000000000002</v>
      </c>
      <c r="DB68" s="8">
        <v>8</v>
      </c>
      <c r="DC68" s="8" t="s">
        <v>87</v>
      </c>
      <c r="DD68" s="9">
        <f t="shared" ref="DD68:DD73" si="44">CX68*CW68/100</f>
        <v>0.72900000000000009</v>
      </c>
      <c r="DE68" s="9">
        <f t="shared" ref="DE68:DE73" si="45">DA68/(DD68*AV68)</f>
        <v>3629.561621472837</v>
      </c>
      <c r="DF68" s="2">
        <f t="shared" ref="DF68:DF73" si="46">DE68/(1+DE68)</f>
        <v>0.99972456052141201</v>
      </c>
      <c r="DG68" s="1">
        <f t="shared" ref="DG68:DG73" si="47">BJ68/(DB68*BR68)</f>
        <v>539.82199725517933</v>
      </c>
      <c r="DH68" s="2">
        <f t="shared" ref="DH68:DH73" si="48">DG68/(1+DG68)</f>
        <v>0.99815096278428894</v>
      </c>
      <c r="DI68" s="7">
        <f t="shared" ref="DI68:DI73" si="49">SUM(DO68:DS68)</f>
        <v>85.097651873661761</v>
      </c>
      <c r="DJ68" s="31">
        <f t="shared" ref="DJ68:DJ73" si="50">BC68*(1-DI68/100)</f>
        <v>5.4310979463442699</v>
      </c>
      <c r="DK68" s="31">
        <f t="shared" ref="DK68:DK73" si="51">DJ68-DL68</f>
        <v>5.4210556441193072</v>
      </c>
      <c r="DL68" s="31">
        <f t="shared" ref="DL68:DL73" si="52">DJ68*BR68 *DB68 / (BJ68+BR68*DB68)</f>
        <v>1.004230222496235E-2</v>
      </c>
      <c r="DM68" s="30">
        <f t="shared" ref="DM68:DM73" si="53">(BF68-DK68)/BF68*100</f>
        <v>85.042324189443036</v>
      </c>
      <c r="DN68" s="30">
        <f t="shared" ref="DN68:DN73" si="54">(BG68-DL68)/BG68*100</f>
        <v>95.027203525416923</v>
      </c>
      <c r="DO68" s="7">
        <v>24.79</v>
      </c>
      <c r="DP68" s="7">
        <f t="shared" ref="DP68:DP73" si="55">0.54*CH68</f>
        <v>43.896049896049902</v>
      </c>
      <c r="DQ68" s="7">
        <f t="shared" ref="DQ68:DQ73" si="56">0.52*CI68</f>
        <v>46.038687146932538</v>
      </c>
      <c r="DR68" s="7">
        <f t="shared" ref="DR68:DR114" si="57">-2.42*LN(DE68+1)</f>
        <v>-19.837085169320673</v>
      </c>
      <c r="DS68" s="6">
        <f t="shared" ref="DS68:DS73" si="58">-0.89*CZ68</f>
        <v>-9.7900000000000009</v>
      </c>
      <c r="DT68" s="5">
        <f>$AL68+$FF68*$AV68</f>
        <v>1259.7806296618603</v>
      </c>
      <c r="DU68" s="5">
        <f>$AL68+$DB68*$AV68</f>
        <v>1259.7806296618603</v>
      </c>
      <c r="DV68" s="5">
        <f>$AL68+$DD68*$AV68</f>
        <v>1253.436109877937</v>
      </c>
      <c r="DW68" s="5">
        <f>100*MIN(DT68,($CI68/100*$AV68*$FF68+$CH68/100*$AL68))/DT68</f>
        <v>81.329137734916429</v>
      </c>
      <c r="DX68" s="5">
        <f>100*MIN(DU68,($CI68/100*$AV68*$DB68+$CH68/100*$AL68))/DU68</f>
        <v>81.329137734916429</v>
      </c>
      <c r="DY68" s="5">
        <f>100*MIN(DV68,($CI68/100*$AV68*$DD68+$CH68/100*$AL68))/DV68</f>
        <v>81.292659067180409</v>
      </c>
      <c r="DZ68" s="5">
        <f>DW68-$EC68</f>
        <v>0</v>
      </c>
      <c r="EA68" s="5">
        <f>DX68-$EC68</f>
        <v>0</v>
      </c>
      <c r="EB68" s="5">
        <f>DY68-$EC68</f>
        <v>-3.6478667736020043E-2</v>
      </c>
      <c r="EC68" s="16">
        <f t="shared" ref="EC68:EC114" si="59">ED68/BC68*100</f>
        <v>81.329137734916429</v>
      </c>
      <c r="ED68" s="3">
        <f>MIN(BC68,EF68*BB68/1000+EG68*EH68)</f>
        <v>29.640061363845604</v>
      </c>
      <c r="EE68" s="16">
        <f t="shared" ref="EE68:EE114" si="60">BC68-ED68</f>
        <v>6.8045170361543938</v>
      </c>
      <c r="EF68" s="16">
        <f t="shared" ref="EF68:EF73" si="61">AV68-BR68</f>
        <v>0.77254573339179522</v>
      </c>
      <c r="EG68" s="16">
        <f t="shared" ref="EG68:EG73" si="62">AN68-BJ68</f>
        <v>1876.8000000000002</v>
      </c>
      <c r="EH68" s="16">
        <f t="shared" ref="EH68:EH73" si="63">AY68/1000</f>
        <v>1.5697606390152261E-2</v>
      </c>
      <c r="EI68" s="20">
        <f t="shared" ref="EI68:EI73" si="64">EE68-EJ68</f>
        <v>6.7919352309196048</v>
      </c>
      <c r="EJ68" s="26">
        <f>EE68*BR68 *FF68 / (BJ68+BR68*FF68)</f>
        <v>1.2581805234789252E-2</v>
      </c>
      <c r="EK68" s="29">
        <f t="shared" ref="EK68:EK73" si="65">($BF68-EI68)/$BF68*100</f>
        <v>81.259818754931786</v>
      </c>
      <c r="EL68" s="28">
        <f t="shared" ref="EL68:EL73" si="66">($BG68-EJ68)/$BG68*100</f>
        <v>93.769679968411296</v>
      </c>
      <c r="EM68" s="25">
        <f t="shared" ref="EM68:EM73" si="67">101 - EO68</f>
        <v>83.810731861796739</v>
      </c>
      <c r="EN68" s="25">
        <f t="shared" ref="EN68:EN73" si="68">IF(CX68&lt;=0, FALSE, IF(CX68&lt;=9000,1,IF(CX68&gt;9000,2,FALSE)))</f>
        <v>1</v>
      </c>
      <c r="EO68" s="25">
        <f t="shared" ref="EO68:EO73" si="69">POWER(EP68,2)</f>
        <v>17.189268138203268</v>
      </c>
      <c r="EP68" s="25">
        <f t="shared" ref="EP68:EP114" si="70" xml:space="preserve"> 8.06 -0.07 * CH68 + 0.02 * CI68 + 0.05 * CZ68 - 2.17 * EN68 + 0.02 * CH68/EN68 - 0.0003 * CH68/CI68</f>
        <v>4.1459942279510313</v>
      </c>
      <c r="EQ68" s="26">
        <f t="shared" ref="EQ68:EQ114" si="71">BC68*(1-EM68/100)</f>
        <v>5.9001105190137073</v>
      </c>
      <c r="ER68" s="26">
        <f t="shared" ref="ER68:ER73" si="72">EQ68-ES68</f>
        <v>5.8892009950872426</v>
      </c>
      <c r="ES68" s="26">
        <f t="shared" ref="ES68:ES114" si="73">EQ68*BR68 *DB68 / (BJ68+BR68*DB68)</f>
        <v>1.0909523926464519E-2</v>
      </c>
      <c r="ET68" s="25">
        <f t="shared" ref="ET68:ET73" si="74">($BF68-ER68)/$BF68*100</f>
        <v>83.750626252419664</v>
      </c>
      <c r="EU68" s="25">
        <f t="shared" ref="EU68:EU73" si="75">($BG68-ES68)/$BG68*100</f>
        <v>94.597768429429465</v>
      </c>
      <c r="EZ68" s="22">
        <f t="shared" ref="EZ68:EZ73" si="76">AC68</f>
        <v>35560.85533564815</v>
      </c>
      <c r="FA68" s="19">
        <f t="shared" ref="FA68:FA73" si="77">IFERROR(BA68,FALSE)</f>
        <v>231.43444210462033</v>
      </c>
      <c r="FB68" s="19">
        <f t="shared" ref="FB68:FB73" si="78">IFERROR(BV68,FALSE)</f>
        <v>154.23029416557719</v>
      </c>
      <c r="FC68" s="19" t="b">
        <v>1</v>
      </c>
      <c r="FD68" s="19" t="b">
        <v>1</v>
      </c>
      <c r="FE68" s="20">
        <f t="shared" ref="FE68:FE114" si="79">IF($FC68=TRUE,BF68/BG68,FALSE)</f>
        <v>179.46805097609547</v>
      </c>
      <c r="FF68" s="20">
        <f t="shared" ref="FF68:FF114" si="80">IF($FD68=TRUE,BA68/AX68,FALSE)</f>
        <v>8</v>
      </c>
      <c r="FG68" s="20">
        <f t="shared" ref="FG68:FG114" si="81">IF($FC68=TRUE,BZ68/CA68,FALSE)</f>
        <v>539.82199725517933</v>
      </c>
      <c r="FH68" s="20">
        <f t="shared" ref="FH68:FH114" si="82">IF($FD68=TRUE,BV68/BT68,FALSE)</f>
        <v>8</v>
      </c>
      <c r="FI68" s="19" t="s">
        <v>77</v>
      </c>
      <c r="FJ68" s="21" t="s">
        <v>76</v>
      </c>
      <c r="FK68" s="16">
        <f t="shared" ref="FK68:FK73" si="83">IF(AND(CH68&lt;100,CH68&gt;=0,CO68=TRUE,CK68=TRUE),IFERROR(CM68,FALSE),FALSE)</f>
        <v>77.105335371364873</v>
      </c>
      <c r="FL68" s="17">
        <f t="shared" ref="FL68:FL114" si="84">IF($FK68=FALSE, FALSE,CM68)</f>
        <v>77.105335371364873</v>
      </c>
      <c r="FM68" s="1">
        <f t="shared" ref="FM68:FM114" si="85">IF($FK68=FALSE, FALSE, DI68)</f>
        <v>85.097651873661761</v>
      </c>
      <c r="FN68" s="1">
        <f t="shared" ref="FN68:FN114" si="86">IF($FK68=FALSE,FALSE,EC68)</f>
        <v>81.329137734916429</v>
      </c>
      <c r="FO68" s="1">
        <f>IF($FK68=FALSE,FALSE,DW68)</f>
        <v>81.329137734916429</v>
      </c>
      <c r="FP68" s="1">
        <f>IF($FK68=FALSE,FALSE,DY68)</f>
        <v>81.292659067180409</v>
      </c>
      <c r="FQ68" s="1">
        <f t="shared" ref="FQ68:FQ114" si="87">IF($FK68=FALSE,FALSE,EM68)</f>
        <v>83.810731861796739</v>
      </c>
      <c r="FR68" s="16">
        <f t="shared" ref="FR68:FR73" si="88">IF(AND(CH68&lt;100,CH68&gt;=0, CD68=TRUE,CK68=TRUE),IFERROR(CB68,FALSE),FALSE)</f>
        <v>77.020334755077556</v>
      </c>
      <c r="FS68" s="17">
        <f t="shared" ref="FS68:FS114" si="89">IF($FR68=FALSE, FALSE,CB68)</f>
        <v>77.020334755077556</v>
      </c>
      <c r="FT68" s="1">
        <f t="shared" ref="FT68:FT114" si="90">IF($FR68=FALSE, FALSE, DM68)</f>
        <v>85.042324189443036</v>
      </c>
      <c r="FU68" s="1">
        <f t="shared" ref="FU68:FU114" si="91">IF($FR68=FALSE,FALSE,EK68)</f>
        <v>81.259818754931786</v>
      </c>
      <c r="FV68" s="1">
        <f t="shared" ref="FV68:FV114" si="92">IF($FR68=FALSE,FALSE,ET68)</f>
        <v>83.750626252419664</v>
      </c>
      <c r="FW68" s="16">
        <f t="shared" ref="FW68:FW73" si="93">IF(AND(CH68&lt;100,CH68&gt;=0,CG68=TRUE,CK68=TRUE),IFERROR(CE68, FALSE),FALSE)</f>
        <v>92.360230308214284</v>
      </c>
      <c r="FX68" s="15">
        <f t="shared" ref="FX68:FX114" si="94">IF($FW68=FALSE, FALSE,CE68)</f>
        <v>92.360230308214284</v>
      </c>
      <c r="FY68" s="15">
        <f t="shared" ref="FY68:FY114" si="95">IF($FW68=FALSE, FALSE, DN68)</f>
        <v>95.027203525416923</v>
      </c>
      <c r="FZ68" s="15">
        <f t="shared" ref="FZ68:FZ114" si="96">IF($FW68=FALSE,FALSE,EL68)</f>
        <v>93.769679968411296</v>
      </c>
      <c r="GA68" s="15">
        <f t="shared" ref="GA68:GA114" si="97">IF($FW68=FALSE,FALSE,EU68)</f>
        <v>94.597768429429465</v>
      </c>
      <c r="GC68">
        <f t="shared" ref="GC68:GC114" si="98">IF($FK68=FALSE,FALSE,CH68)</f>
        <v>81.28898128898129</v>
      </c>
      <c r="GD68">
        <f t="shared" ref="GD68:GD114" si="99">IF($FK68=FALSE,FALSE,CI68)</f>
        <v>88.535936821024109</v>
      </c>
      <c r="GE68" s="14">
        <f t="shared" ref="GE68:GE73" si="100">FL68</f>
        <v>77.105335371364873</v>
      </c>
      <c r="GF68" t="e">
        <f>IF(#REF!=FALSE,FALSE,CH68)</f>
        <v>#REF!</v>
      </c>
      <c r="GG68" t="e">
        <f>IF(#REF!=FALSE,FALSE,AN68)</f>
        <v>#REF!</v>
      </c>
      <c r="GH68" s="13" t="e">
        <f>#REF!</f>
        <v>#REF!</v>
      </c>
      <c r="GI68">
        <f t="shared" ref="GI68:GI114" si="101">IF($FX68=FALSE,FALSE,CI68)</f>
        <v>88.535936821024109</v>
      </c>
      <c r="GJ68">
        <f t="shared" ref="GJ68:GJ114" si="102">IF($FX68=FALSE,FALSE,AV68)</f>
        <v>0.87257870773254564</v>
      </c>
      <c r="GK68" s="13">
        <f t="shared" ref="GK68:GK73" si="103">FX68</f>
        <v>92.360230308214284</v>
      </c>
      <c r="GL68" t="str">
        <f t="shared" ref="GL68:GL73" si="104">L68</f>
        <v>IPU</v>
      </c>
      <c r="IS68">
        <v>28</v>
      </c>
    </row>
    <row r="69" spans="1:253">
      <c r="A69" s="41" t="s">
        <v>83</v>
      </c>
      <c r="B69" s="12" t="s">
        <v>86</v>
      </c>
      <c r="C69" s="41" t="s">
        <v>82</v>
      </c>
      <c r="D69" s="101" t="s">
        <v>85</v>
      </c>
      <c r="E69" s="41" t="s">
        <v>81</v>
      </c>
      <c r="F69" s="41" t="s">
        <v>80</v>
      </c>
      <c r="G69" s="12">
        <f t="shared" si="0"/>
        <v>432</v>
      </c>
      <c r="H69" s="41">
        <v>6</v>
      </c>
      <c r="I69" s="41">
        <v>8</v>
      </c>
      <c r="J69" s="41">
        <f t="shared" si="1"/>
        <v>48</v>
      </c>
      <c r="K69" s="41" t="s">
        <v>75</v>
      </c>
      <c r="L69" s="41" t="s">
        <v>75</v>
      </c>
      <c r="M69" s="85">
        <v>0.1</v>
      </c>
      <c r="N69" s="41"/>
      <c r="O69" s="41"/>
      <c r="P69" s="41"/>
      <c r="Q69" s="41"/>
      <c r="R69" s="41"/>
      <c r="S69" s="41"/>
      <c r="T69" s="41"/>
      <c r="U69" s="41" t="s">
        <v>79</v>
      </c>
      <c r="V69" s="41">
        <f t="shared" si="2"/>
        <v>9</v>
      </c>
      <c r="W69" s="41" t="s">
        <v>5</v>
      </c>
      <c r="X69" s="72">
        <v>3.7</v>
      </c>
      <c r="Y69" s="41" t="s">
        <v>57</v>
      </c>
      <c r="Z69" s="41" t="s">
        <v>59</v>
      </c>
      <c r="AA69" s="91"/>
      <c r="AB69" s="46">
        <v>35558.987349537034</v>
      </c>
      <c r="AC69" s="46">
        <v>35560.85533564815</v>
      </c>
      <c r="AD69" s="41">
        <v>22</v>
      </c>
      <c r="AE69" s="41"/>
      <c r="AF69" s="41"/>
      <c r="AG69" s="41"/>
      <c r="AH69" s="48"/>
      <c r="AI69" t="b">
        <v>0</v>
      </c>
      <c r="AJ69" s="12">
        <v>2.9</v>
      </c>
      <c r="AK69" s="16">
        <f t="shared" si="3"/>
        <v>26.099999999999998</v>
      </c>
      <c r="AL69" s="7">
        <f t="shared" si="4"/>
        <v>1252.8</v>
      </c>
      <c r="AN69" s="41">
        <f t="shared" si="5"/>
        <v>2308.8000000000002</v>
      </c>
      <c r="AO69" s="41">
        <v>2.0198581197512633</v>
      </c>
      <c r="AP69" s="21"/>
      <c r="AQ69" s="21"/>
      <c r="AR69" s="21"/>
      <c r="AS69" s="45">
        <f t="shared" si="6"/>
        <v>20.198581197512631</v>
      </c>
      <c r="AT69" s="21">
        <f t="shared" si="7"/>
        <v>872.57870773254569</v>
      </c>
      <c r="AU69">
        <f t="shared" si="8"/>
        <v>696.50279991422872</v>
      </c>
      <c r="AV69" s="21">
        <f t="shared" si="9"/>
        <v>0.87257870773254564</v>
      </c>
      <c r="AW69" s="12">
        <v>34.887999999999998</v>
      </c>
      <c r="AX69" s="7">
        <f t="shared" si="10"/>
        <v>31.56793914201025</v>
      </c>
      <c r="AY69" s="21">
        <f t="shared" si="11"/>
        <v>17.129380698679157</v>
      </c>
      <c r="AZ69" s="1"/>
      <c r="BA69" s="7">
        <f t="shared" si="12"/>
        <v>4766.7588104435481</v>
      </c>
      <c r="BB69" s="8">
        <f t="shared" si="13"/>
        <v>4766.7588104435481</v>
      </c>
      <c r="BC69" s="1">
        <f t="shared" si="14"/>
        <v>43.7076864</v>
      </c>
      <c r="BD69" s="1"/>
      <c r="BE69" s="1"/>
      <c r="BF69" s="39">
        <f t="shared" si="15"/>
        <v>39.54831415711044</v>
      </c>
      <c r="BG69" s="7">
        <f t="shared" si="16"/>
        <v>4.1593722428895576</v>
      </c>
      <c r="BH69" s="100">
        <v>1</v>
      </c>
      <c r="BI69" s="41"/>
      <c r="BJ69" s="41">
        <f t="shared" si="17"/>
        <v>432</v>
      </c>
      <c r="BK69" s="56">
        <v>0.23155781097395933</v>
      </c>
      <c r="BL69" s="15"/>
      <c r="BM69" s="15"/>
      <c r="BN69" s="15"/>
      <c r="BO69" s="15"/>
      <c r="BP69" s="15"/>
      <c r="BQ69" s="45">
        <f t="shared" si="18"/>
        <v>100.03297434075043</v>
      </c>
      <c r="BR69" s="41">
        <f t="shared" si="19"/>
        <v>0.10003297434075042</v>
      </c>
      <c r="BS69" s="12">
        <v>21.033999999999999</v>
      </c>
      <c r="BT69" s="7">
        <f t="shared" si="20"/>
        <v>20.323388072693241</v>
      </c>
      <c r="BU69" s="1"/>
      <c r="BV69" s="7">
        <f t="shared" si="21"/>
        <v>3068.8315989766793</v>
      </c>
      <c r="BW69" s="13">
        <f t="shared" si="22"/>
        <v>9.0866880000000005</v>
      </c>
      <c r="BX69" s="13"/>
      <c r="BY69" s="1"/>
      <c r="BZ69" s="90">
        <f t="shared" si="23"/>
        <v>8.7797036474034797</v>
      </c>
      <c r="CA69" s="7">
        <f t="shared" si="24"/>
        <v>0.30698435259651824</v>
      </c>
      <c r="CB69" s="38">
        <f t="shared" si="25"/>
        <v>77.80005586957499</v>
      </c>
      <c r="CC69" s="35" t="b">
        <f t="shared" si="26"/>
        <v>1</v>
      </c>
      <c r="CD69" s="35" t="b">
        <f t="shared" si="27"/>
        <v>1</v>
      </c>
      <c r="CE69" s="38">
        <f t="shared" si="28"/>
        <v>92.619454699653119</v>
      </c>
      <c r="CF69" s="35" t="b">
        <f t="shared" si="29"/>
        <v>1</v>
      </c>
      <c r="CG69" s="35" t="b">
        <f t="shared" si="30"/>
        <v>1</v>
      </c>
      <c r="CH69" s="1">
        <f t="shared" si="31"/>
        <v>81.28898128898129</v>
      </c>
      <c r="CI69" s="16">
        <f t="shared" si="32"/>
        <v>88.535936821024109</v>
      </c>
      <c r="CJ69" s="35" t="b">
        <f t="shared" si="33"/>
        <v>1</v>
      </c>
      <c r="CK69" s="35" t="b">
        <f t="shared" si="34"/>
        <v>1</v>
      </c>
      <c r="CL69" s="32">
        <f t="shared" si="35"/>
        <v>65.517241379310349</v>
      </c>
      <c r="CM69" s="32">
        <f t="shared" si="36"/>
        <v>79.210320315650478</v>
      </c>
      <c r="CN69" s="35" t="b">
        <f t="shared" si="37"/>
        <v>1</v>
      </c>
      <c r="CO69" s="35" t="b">
        <f t="shared" si="38"/>
        <v>1</v>
      </c>
      <c r="CP69">
        <f t="shared" si="39"/>
        <v>1997</v>
      </c>
      <c r="CQ69" s="46">
        <v>35492</v>
      </c>
      <c r="CR69" s="88">
        <f t="shared" si="40"/>
        <v>68.855335648149776</v>
      </c>
      <c r="CS69" t="str">
        <f t="shared" si="41"/>
        <v>DFF</v>
      </c>
      <c r="CT69">
        <f t="shared" si="42"/>
        <v>6</v>
      </c>
      <c r="CU69" s="89"/>
      <c r="CV69" s="89"/>
      <c r="CW69">
        <v>0.9</v>
      </c>
      <c r="CX69" s="12">
        <v>3186</v>
      </c>
      <c r="CY69" s="21" t="s">
        <v>78</v>
      </c>
      <c r="CZ69">
        <v>11</v>
      </c>
      <c r="DA69" s="1">
        <f t="shared" si="43"/>
        <v>2308.8000000000002</v>
      </c>
      <c r="DB69" s="64">
        <v>151</v>
      </c>
      <c r="DC69" s="64" t="s">
        <v>87</v>
      </c>
      <c r="DD69" s="60">
        <f t="shared" si="44"/>
        <v>28.673999999999999</v>
      </c>
      <c r="DE69" s="60">
        <f t="shared" si="45"/>
        <v>92.276990376428088</v>
      </c>
      <c r="DF69" s="2">
        <f t="shared" si="46"/>
        <v>0.98927924243734278</v>
      </c>
      <c r="DG69" s="1">
        <f t="shared" si="47"/>
        <v>28.599840914181687</v>
      </c>
      <c r="DH69" s="2">
        <f t="shared" si="48"/>
        <v>0.96621603464358874</v>
      </c>
      <c r="DI69" s="7">
        <f t="shared" si="49"/>
        <v>93.958649275401598</v>
      </c>
      <c r="DJ69" s="31">
        <f t="shared" si="50"/>
        <v>2.6405346290315981</v>
      </c>
      <c r="DK69" s="31">
        <f t="shared" si="51"/>
        <v>2.5513268986019901</v>
      </c>
      <c r="DL69" s="31">
        <f t="shared" si="52"/>
        <v>8.920773042960789E-2</v>
      </c>
      <c r="DM69" s="30">
        <f t="shared" si="53"/>
        <v>93.548835258902457</v>
      </c>
      <c r="DN69" s="30">
        <f t="shared" si="54"/>
        <v>97.855259755072225</v>
      </c>
      <c r="DO69" s="7">
        <v>24.79</v>
      </c>
      <c r="DP69" s="7">
        <f t="shared" si="55"/>
        <v>43.896049896049902</v>
      </c>
      <c r="DQ69" s="7">
        <f t="shared" si="56"/>
        <v>46.038687146932538</v>
      </c>
      <c r="DR69" s="7">
        <f t="shared" si="57"/>
        <v>-10.976087767580834</v>
      </c>
      <c r="DS69" s="6">
        <f t="shared" si="58"/>
        <v>-9.7900000000000009</v>
      </c>
      <c r="DT69" s="5">
        <f t="shared" ref="DT69:DT114" si="105">$AL69+$FF69*$AV69</f>
        <v>1384.5593848676144</v>
      </c>
      <c r="DU69" s="5">
        <f t="shared" ref="DU69:DU114" si="106">$AL69+$DB69*$AV69</f>
        <v>1384.5593848676144</v>
      </c>
      <c r="DV69" s="5">
        <f t="shared" ref="DV69:DV114" si="107">$AL69+$DD69*$AV69</f>
        <v>1277.8203218655231</v>
      </c>
      <c r="DW69" s="5">
        <f t="shared" ref="DW69:DW114" si="108">100*MIN(DT69,($CI69/100*$AV69*$FF69+$CH69/100*$AL69))/DT69</f>
        <v>81.978626250043177</v>
      </c>
      <c r="DX69" s="5">
        <f t="shared" ref="DX69:DX114" si="109">100*MIN(DU69,($CI69/100*$AV69*$DB69+$CH69/100*$AL69))/DU69</f>
        <v>81.978626250043177</v>
      </c>
      <c r="DY69" s="5">
        <f t="shared" ref="DY69:DY114" si="110">100*MIN(DV69,($CI69/100*$AV69*$DD69+$CH69/100*$AL69))/DV69</f>
        <v>81.430880080896031</v>
      </c>
      <c r="DZ69" s="5">
        <f t="shared" ref="DZ69:DZ114" si="111">DW69-$EC69</f>
        <v>0</v>
      </c>
      <c r="EA69" s="5">
        <f t="shared" ref="EA69:EA114" si="112">DX69-$EC69</f>
        <v>0</v>
      </c>
      <c r="EB69" s="5">
        <f t="shared" ref="EB69:EB114" si="113">DY69-$EC69</f>
        <v>-0.54774616914716034</v>
      </c>
      <c r="EC69" s="16">
        <f t="shared" si="59"/>
        <v>81.978626250043192</v>
      </c>
      <c r="ED69" s="3">
        <f t="shared" ref="ED69:ED114" si="114">MIN(BC69,EF69*BB69/1000+EG69*EH69)</f>
        <v>35.830960876396958</v>
      </c>
      <c r="EE69" s="16">
        <f t="shared" si="60"/>
        <v>7.8767255236030422</v>
      </c>
      <c r="EF69" s="16">
        <f t="shared" si="61"/>
        <v>0.77254573339179522</v>
      </c>
      <c r="EG69" s="16">
        <f t="shared" si="62"/>
        <v>1876.8000000000002</v>
      </c>
      <c r="EH69" s="16">
        <f t="shared" si="63"/>
        <v>1.7129380698679156E-2</v>
      </c>
      <c r="EI69" s="20">
        <f t="shared" si="64"/>
        <v>7.6106185013916763</v>
      </c>
      <c r="EJ69" s="26">
        <f t="shared" ref="EJ69:EJ114" si="115">EE69*BR69 *FF69 / (BJ69+BR69*FF69)</f>
        <v>0.2661070222113659</v>
      </c>
      <c r="EK69" s="29">
        <f t="shared" si="65"/>
        <v>80.756149374262634</v>
      </c>
      <c r="EL69" s="28">
        <f t="shared" si="66"/>
        <v>93.602231137973391</v>
      </c>
      <c r="EM69" s="25">
        <f t="shared" si="67"/>
        <v>83.810731861796739</v>
      </c>
      <c r="EN69" s="25">
        <f t="shared" si="68"/>
        <v>1</v>
      </c>
      <c r="EO69" s="25">
        <f t="shared" si="69"/>
        <v>17.189268138203268</v>
      </c>
      <c r="EP69" s="25">
        <f t="shared" si="70"/>
        <v>4.1459942279510313</v>
      </c>
      <c r="EQ69" s="26">
        <f t="shared" si="71"/>
        <v>7.0759545483009996</v>
      </c>
      <c r="ER69" s="26">
        <f t="shared" si="72"/>
        <v>6.8369007449776573</v>
      </c>
      <c r="ES69" s="26">
        <f t="shared" si="73"/>
        <v>0.23905380332334195</v>
      </c>
      <c r="ET69" s="25">
        <f t="shared" si="74"/>
        <v>82.712535563925073</v>
      </c>
      <c r="EU69" s="25">
        <f t="shared" si="75"/>
        <v>94.252647049515602</v>
      </c>
      <c r="EZ69" s="22">
        <f t="shared" si="76"/>
        <v>35560.85533564815</v>
      </c>
      <c r="FA69" s="19">
        <f t="shared" si="77"/>
        <v>4766.7588104435481</v>
      </c>
      <c r="FB69" s="19">
        <f t="shared" si="78"/>
        <v>3068.8315989766793</v>
      </c>
      <c r="FC69" s="19" t="b">
        <v>1</v>
      </c>
      <c r="FD69" s="19" t="b">
        <v>1</v>
      </c>
      <c r="FE69" s="20">
        <f t="shared" si="79"/>
        <v>9.5082411113163143</v>
      </c>
      <c r="FF69" s="20">
        <f t="shared" si="80"/>
        <v>151</v>
      </c>
      <c r="FG69" s="20">
        <f t="shared" si="81"/>
        <v>28.599840914181687</v>
      </c>
      <c r="FH69" s="20">
        <f t="shared" si="82"/>
        <v>151</v>
      </c>
      <c r="FI69" s="19" t="s">
        <v>77</v>
      </c>
      <c r="FJ69" s="21" t="s">
        <v>76</v>
      </c>
      <c r="FK69" s="16">
        <f t="shared" si="83"/>
        <v>79.210320315650478</v>
      </c>
      <c r="FL69" s="17">
        <f t="shared" si="84"/>
        <v>79.210320315650478</v>
      </c>
      <c r="FM69" s="1">
        <f t="shared" si="85"/>
        <v>93.958649275401598</v>
      </c>
      <c r="FN69" s="1">
        <f t="shared" si="86"/>
        <v>81.978626250043192</v>
      </c>
      <c r="FO69" s="1">
        <f t="shared" ref="FO69:FO84" si="116">IF($FK69=FALSE,FALSE,DW69)</f>
        <v>81.978626250043177</v>
      </c>
      <c r="FP69" s="1">
        <f t="shared" ref="FP69:FP84" si="117">IF($FK69=FALSE,FALSE,DY69)</f>
        <v>81.430880080896031</v>
      </c>
      <c r="FQ69" s="1">
        <f t="shared" si="87"/>
        <v>83.810731861796739</v>
      </c>
      <c r="FR69" s="16">
        <f t="shared" si="88"/>
        <v>77.80005586957499</v>
      </c>
      <c r="FS69" s="17">
        <f t="shared" si="89"/>
        <v>77.80005586957499</v>
      </c>
      <c r="FT69" s="1">
        <f t="shared" si="90"/>
        <v>93.548835258902457</v>
      </c>
      <c r="FU69" s="1">
        <f t="shared" si="91"/>
        <v>80.756149374262634</v>
      </c>
      <c r="FV69" s="1">
        <f t="shared" si="92"/>
        <v>82.712535563925073</v>
      </c>
      <c r="FW69" s="16">
        <f t="shared" si="93"/>
        <v>92.619454699653119</v>
      </c>
      <c r="FX69" s="15">
        <f t="shared" si="94"/>
        <v>92.619454699653119</v>
      </c>
      <c r="FY69" s="15">
        <f t="shared" si="95"/>
        <v>97.855259755072225</v>
      </c>
      <c r="FZ69" s="15">
        <f t="shared" si="96"/>
        <v>93.602231137973391</v>
      </c>
      <c r="GA69" s="15">
        <f t="shared" si="97"/>
        <v>94.252647049515602</v>
      </c>
      <c r="GC69">
        <f t="shared" si="98"/>
        <v>81.28898128898129</v>
      </c>
      <c r="GD69">
        <f t="shared" si="99"/>
        <v>88.535936821024109</v>
      </c>
      <c r="GE69" s="14">
        <f t="shared" si="100"/>
        <v>79.210320315650478</v>
      </c>
      <c r="GF69" t="e">
        <f>IF(#REF!=FALSE,FALSE,CH69)</f>
        <v>#REF!</v>
      </c>
      <c r="GG69" t="e">
        <f>IF(#REF!=FALSE,FALSE,AN69)</f>
        <v>#REF!</v>
      </c>
      <c r="GH69" s="13" t="e">
        <f>#REF!</f>
        <v>#REF!</v>
      </c>
      <c r="GI69">
        <f t="shared" si="101"/>
        <v>88.535936821024109</v>
      </c>
      <c r="GJ69">
        <f t="shared" si="102"/>
        <v>0.87257870773254564</v>
      </c>
      <c r="GK69" s="13">
        <f t="shared" si="103"/>
        <v>92.619454699653119</v>
      </c>
      <c r="GL69" t="str">
        <f t="shared" si="104"/>
        <v>DFF</v>
      </c>
      <c r="IC69">
        <v>1</v>
      </c>
      <c r="ID69">
        <v>2</v>
      </c>
      <c r="IE69">
        <v>3</v>
      </c>
      <c r="IF69">
        <v>4</v>
      </c>
      <c r="IG69">
        <v>5</v>
      </c>
      <c r="IH69">
        <v>6</v>
      </c>
      <c r="II69">
        <v>7</v>
      </c>
      <c r="IJ69">
        <v>8</v>
      </c>
      <c r="IK69">
        <v>9</v>
      </c>
      <c r="IL69">
        <v>10</v>
      </c>
      <c r="IM69">
        <v>11</v>
      </c>
      <c r="IN69">
        <v>12</v>
      </c>
      <c r="IO69">
        <v>13</v>
      </c>
      <c r="IP69">
        <v>14</v>
      </c>
      <c r="IQ69">
        <v>15</v>
      </c>
      <c r="IR69">
        <v>16</v>
      </c>
    </row>
    <row r="70" spans="1:253">
      <c r="A70" s="21" t="s">
        <v>83</v>
      </c>
      <c r="B70" s="1" t="s">
        <v>86</v>
      </c>
      <c r="C70" s="21" t="s">
        <v>82</v>
      </c>
      <c r="D70" s="99" t="s">
        <v>85</v>
      </c>
      <c r="E70" s="21" t="s">
        <v>81</v>
      </c>
      <c r="F70" s="21" t="s">
        <v>80</v>
      </c>
      <c r="G70" s="96">
        <f t="shared" si="0"/>
        <v>432</v>
      </c>
      <c r="H70" s="21">
        <v>6</v>
      </c>
      <c r="I70" s="21">
        <v>8</v>
      </c>
      <c r="J70" s="21">
        <f t="shared" si="1"/>
        <v>48</v>
      </c>
      <c r="K70" s="21" t="s">
        <v>84</v>
      </c>
      <c r="L70" s="21" t="s">
        <v>84</v>
      </c>
      <c r="M70" s="85">
        <v>0.1</v>
      </c>
      <c r="N70" s="21"/>
      <c r="O70" s="21"/>
      <c r="P70" s="21"/>
      <c r="Q70" s="21"/>
      <c r="R70" s="21"/>
      <c r="S70" s="21"/>
      <c r="T70" s="21"/>
      <c r="U70" s="21" t="s">
        <v>79</v>
      </c>
      <c r="V70" s="21">
        <f t="shared" si="2"/>
        <v>9</v>
      </c>
      <c r="W70" s="21" t="s">
        <v>5</v>
      </c>
      <c r="X70" s="36">
        <v>3.7</v>
      </c>
      <c r="Y70" s="21" t="s">
        <v>57</v>
      </c>
      <c r="Z70" s="21" t="s">
        <v>59</v>
      </c>
      <c r="AA70" s="91"/>
      <c r="AB70" s="52">
        <v>35588.026643518519</v>
      </c>
      <c r="AC70" s="52">
        <v>35589.542291666665</v>
      </c>
      <c r="AD70" s="21">
        <v>30.4</v>
      </c>
      <c r="AE70" s="21"/>
      <c r="AF70" s="21"/>
      <c r="AG70" s="21"/>
      <c r="AI70" t="b">
        <v>0</v>
      </c>
      <c r="AJ70" s="14">
        <v>2.8</v>
      </c>
      <c r="AK70" s="16">
        <f t="shared" si="3"/>
        <v>25.2</v>
      </c>
      <c r="AL70" s="7">
        <f t="shared" si="4"/>
        <v>1209.5999999999999</v>
      </c>
      <c r="AN70" s="21">
        <f t="shared" si="5"/>
        <v>2668.7999999999997</v>
      </c>
      <c r="AO70" s="21">
        <v>8.8884330034888865</v>
      </c>
      <c r="AP70" s="21"/>
      <c r="AQ70" s="21"/>
      <c r="AR70" s="21"/>
      <c r="AS70" s="45">
        <f t="shared" si="6"/>
        <v>88.884330034888862</v>
      </c>
      <c r="AT70" s="21">
        <f t="shared" si="7"/>
        <v>3839.8030575071989</v>
      </c>
      <c r="AU70">
        <f t="shared" si="8"/>
        <v>3174.4403583888879</v>
      </c>
      <c r="AV70" s="21">
        <f t="shared" si="9"/>
        <v>3.8398030575071989</v>
      </c>
      <c r="AW70">
        <v>5.7229999999999999</v>
      </c>
      <c r="AX70" s="7">
        <f t="shared" si="10"/>
        <v>5.5469164457015392</v>
      </c>
      <c r="AY70" s="21">
        <f t="shared" si="11"/>
        <v>2.5140700437352299</v>
      </c>
      <c r="BA70" s="7">
        <f t="shared" si="12"/>
        <v>55.469164457015395</v>
      </c>
      <c r="BB70" s="8">
        <f t="shared" si="13"/>
        <v>55.469164457015395</v>
      </c>
      <c r="BC70">
        <f t="shared" si="14"/>
        <v>6.9225408000000002</v>
      </c>
      <c r="BF70" s="39">
        <f t="shared" si="15"/>
        <v>6.7095501327205813</v>
      </c>
      <c r="BG70" s="7">
        <f t="shared" si="16"/>
        <v>0.21299066727941735</v>
      </c>
      <c r="BH70" s="13">
        <v>2.2999999999999998</v>
      </c>
      <c r="BI70" s="21"/>
      <c r="BJ70" s="21">
        <f t="shared" si="17"/>
        <v>993.59999999999991</v>
      </c>
      <c r="BK70" s="13">
        <v>3.2709797144072121</v>
      </c>
      <c r="BL70" s="13"/>
      <c r="BM70" s="13"/>
      <c r="BN70" s="13"/>
      <c r="BO70" s="13"/>
      <c r="BP70" s="13"/>
      <c r="BQ70" s="45">
        <f t="shared" si="18"/>
        <v>1413.0632366239156</v>
      </c>
      <c r="BR70" s="21">
        <f t="shared" si="19"/>
        <v>1.4130632366239155</v>
      </c>
      <c r="BS70">
        <v>2.7389999999999999</v>
      </c>
      <c r="BT70" s="7">
        <f t="shared" si="20"/>
        <v>2.7005931075150018</v>
      </c>
      <c r="BV70" s="7">
        <f t="shared" si="21"/>
        <v>27.005931075150016</v>
      </c>
      <c r="BW70" s="13">
        <f t="shared" si="22"/>
        <v>2.7214703999999998</v>
      </c>
      <c r="BX70" s="13"/>
      <c r="BZ70" s="90">
        <f t="shared" si="23"/>
        <v>2.6833093116269056</v>
      </c>
      <c r="CA70" s="7">
        <f t="shared" si="24"/>
        <v>3.8161088373093857E-2</v>
      </c>
      <c r="CB70" s="38">
        <f t="shared" si="25"/>
        <v>60.00761215657122</v>
      </c>
      <c r="CC70" s="35" t="b">
        <f t="shared" si="26"/>
        <v>1</v>
      </c>
      <c r="CD70" s="35" t="b">
        <f t="shared" si="27"/>
        <v>1</v>
      </c>
      <c r="CE70" s="38">
        <f t="shared" si="28"/>
        <v>82.083211034297932</v>
      </c>
      <c r="CF70" s="35" t="b">
        <f t="shared" si="29"/>
        <v>1</v>
      </c>
      <c r="CG70" s="35" t="b">
        <f t="shared" si="30"/>
        <v>1</v>
      </c>
      <c r="CH70" s="1">
        <f t="shared" si="31"/>
        <v>62.769784172661872</v>
      </c>
      <c r="CI70" s="16">
        <f t="shared" si="32"/>
        <v>63.199590826377531</v>
      </c>
      <c r="CJ70" s="35" t="b">
        <f t="shared" si="33"/>
        <v>1</v>
      </c>
      <c r="CK70" s="35" t="b">
        <f t="shared" si="34"/>
        <v>1</v>
      </c>
      <c r="CL70" s="32">
        <f t="shared" si="35"/>
        <v>17.857142857142858</v>
      </c>
      <c r="CM70" s="32">
        <f t="shared" si="36"/>
        <v>60.686827587928413</v>
      </c>
      <c r="CN70" s="35" t="b">
        <f t="shared" si="37"/>
        <v>1</v>
      </c>
      <c r="CO70" s="35" t="b">
        <f t="shared" si="38"/>
        <v>1</v>
      </c>
      <c r="CP70">
        <f t="shared" si="39"/>
        <v>1997</v>
      </c>
      <c r="CQ70" s="52">
        <v>35495</v>
      </c>
      <c r="CR70" s="88">
        <f t="shared" si="40"/>
        <v>94.542291666664823</v>
      </c>
      <c r="CS70" t="str">
        <f t="shared" si="41"/>
        <v>IPU</v>
      </c>
      <c r="CT70">
        <f t="shared" si="42"/>
        <v>6</v>
      </c>
      <c r="CU70" s="89"/>
      <c r="CV70" s="89"/>
      <c r="CW70">
        <v>0.9</v>
      </c>
      <c r="CX70">
        <v>81</v>
      </c>
      <c r="CY70" s="21" t="s">
        <v>78</v>
      </c>
      <c r="CZ70">
        <v>11</v>
      </c>
      <c r="DA70" s="1">
        <f t="shared" si="43"/>
        <v>2668.7999999999997</v>
      </c>
      <c r="DB70" s="8">
        <v>10</v>
      </c>
      <c r="DC70" s="8" t="s">
        <v>87</v>
      </c>
      <c r="DD70" s="9">
        <f t="shared" si="44"/>
        <v>0.72900000000000009</v>
      </c>
      <c r="DE70" s="9">
        <f t="shared" si="45"/>
        <v>953.40966579960445</v>
      </c>
      <c r="DF70" s="2">
        <f t="shared" si="46"/>
        <v>0.99895223190225946</v>
      </c>
      <c r="DG70" s="1">
        <f t="shared" si="47"/>
        <v>70.315324484267578</v>
      </c>
      <c r="DH70" s="2">
        <f t="shared" si="48"/>
        <v>0.9859777683515889</v>
      </c>
      <c r="DI70" s="7">
        <f t="shared" si="49"/>
        <v>65.155625626943205</v>
      </c>
      <c r="DJ70" s="31">
        <f t="shared" si="50"/>
        <v>2.4121160324796009</v>
      </c>
      <c r="DK70" s="31">
        <f t="shared" si="51"/>
        <v>2.3782927827093259</v>
      </c>
      <c r="DL70" s="31">
        <f t="shared" si="52"/>
        <v>3.3823249770275149E-2</v>
      </c>
      <c r="DM70" s="30">
        <f t="shared" si="53"/>
        <v>64.553617818412832</v>
      </c>
      <c r="DN70" s="30">
        <f t="shared" si="54"/>
        <v>84.119844215566857</v>
      </c>
      <c r="DO70" s="7">
        <v>24.79</v>
      </c>
      <c r="DP70" s="7">
        <f t="shared" si="55"/>
        <v>33.89568345323741</v>
      </c>
      <c r="DQ70" s="7">
        <f t="shared" si="56"/>
        <v>32.863787229716316</v>
      </c>
      <c r="DR70" s="7">
        <f t="shared" si="57"/>
        <v>-16.60384505601052</v>
      </c>
      <c r="DS70" s="6">
        <f t="shared" si="58"/>
        <v>-9.7900000000000009</v>
      </c>
      <c r="DT70" s="5">
        <f t="shared" si="105"/>
        <v>1247.9980305750719</v>
      </c>
      <c r="DU70" s="5">
        <f t="shared" si="106"/>
        <v>1247.9980305750719</v>
      </c>
      <c r="DV70" s="5">
        <f t="shared" si="107"/>
        <v>1212.3992164289227</v>
      </c>
      <c r="DW70" s="5">
        <f t="shared" si="108"/>
        <v>62.783008335382014</v>
      </c>
      <c r="DX70" s="5">
        <f t="shared" si="109"/>
        <v>62.783008335382014</v>
      </c>
      <c r="DY70" s="5">
        <f t="shared" si="110"/>
        <v>62.770776520586566</v>
      </c>
      <c r="DZ70" s="5">
        <f t="shared" si="111"/>
        <v>0</v>
      </c>
      <c r="EA70" s="5">
        <f t="shared" si="112"/>
        <v>0</v>
      </c>
      <c r="EB70" s="5">
        <f t="shared" si="113"/>
        <v>-1.2231814795441665E-2</v>
      </c>
      <c r="EC70" s="16">
        <f t="shared" si="59"/>
        <v>62.783008335382007</v>
      </c>
      <c r="ED70" s="3">
        <f t="shared" si="114"/>
        <v>4.3461793674842202</v>
      </c>
      <c r="EE70" s="16">
        <f t="shared" si="60"/>
        <v>2.57636143251578</v>
      </c>
      <c r="EF70" s="16">
        <f t="shared" si="61"/>
        <v>2.4267398208832835</v>
      </c>
      <c r="EG70" s="16">
        <f t="shared" si="62"/>
        <v>1675.1999999999998</v>
      </c>
      <c r="EH70" s="16">
        <f t="shared" si="63"/>
        <v>2.51407004373523E-3</v>
      </c>
      <c r="EI70" s="20">
        <f t="shared" si="64"/>
        <v>2.5402350956990114</v>
      </c>
      <c r="EJ70" s="26">
        <f t="shared" si="115"/>
        <v>3.6126336816768391E-2</v>
      </c>
      <c r="EK70" s="29">
        <f t="shared" si="65"/>
        <v>62.140008712193648</v>
      </c>
      <c r="EL70" s="28">
        <f t="shared" si="66"/>
        <v>83.038535313204548</v>
      </c>
      <c r="EM70" s="25">
        <f t="shared" si="67"/>
        <v>80.158906520700256</v>
      </c>
      <c r="EN70" s="25">
        <f t="shared" si="68"/>
        <v>1</v>
      </c>
      <c r="EO70" s="25">
        <f t="shared" si="69"/>
        <v>20.841093479299744</v>
      </c>
      <c r="EP70" s="25">
        <f t="shared" si="70"/>
        <v>4.5652046481291224</v>
      </c>
      <c r="EQ70" s="26">
        <f t="shared" si="71"/>
        <v>1.3735077912706644</v>
      </c>
      <c r="ER70" s="26">
        <f t="shared" si="72"/>
        <v>1.3542481468505696</v>
      </c>
      <c r="ES70" s="26">
        <f t="shared" si="73"/>
        <v>1.9259644420094667E-2</v>
      </c>
      <c r="ET70" s="25">
        <f t="shared" si="74"/>
        <v>79.816111064640779</v>
      </c>
      <c r="EU70" s="25">
        <f t="shared" si="75"/>
        <v>90.957517216081399</v>
      </c>
      <c r="EZ70" s="22">
        <f t="shared" si="76"/>
        <v>35589.542291666665</v>
      </c>
      <c r="FA70" s="19">
        <f t="shared" si="77"/>
        <v>55.469164457015395</v>
      </c>
      <c r="FB70" s="19">
        <f t="shared" si="78"/>
        <v>27.005931075150016</v>
      </c>
      <c r="FC70" s="19" t="b">
        <v>1</v>
      </c>
      <c r="FD70" s="19" t="b">
        <v>1</v>
      </c>
      <c r="FE70" s="20">
        <f t="shared" si="79"/>
        <v>31.501615626747078</v>
      </c>
      <c r="FF70" s="20">
        <f t="shared" si="80"/>
        <v>10</v>
      </c>
      <c r="FG70" s="20">
        <f t="shared" si="81"/>
        <v>70.315324484267592</v>
      </c>
      <c r="FH70" s="20">
        <f t="shared" si="82"/>
        <v>10</v>
      </c>
      <c r="FI70" s="19" t="s">
        <v>77</v>
      </c>
      <c r="FJ70" s="21" t="s">
        <v>76</v>
      </c>
      <c r="FK70" s="16">
        <f t="shared" si="83"/>
        <v>60.686827587928413</v>
      </c>
      <c r="FL70" s="17">
        <f t="shared" si="84"/>
        <v>60.686827587928413</v>
      </c>
      <c r="FM70" s="1">
        <f t="shared" si="85"/>
        <v>65.155625626943205</v>
      </c>
      <c r="FN70" s="1">
        <f t="shared" si="86"/>
        <v>62.783008335382007</v>
      </c>
      <c r="FO70" s="1">
        <f t="shared" si="116"/>
        <v>62.783008335382014</v>
      </c>
      <c r="FP70" s="1">
        <f t="shared" si="117"/>
        <v>62.770776520586566</v>
      </c>
      <c r="FQ70" s="1">
        <f t="shared" si="87"/>
        <v>80.158906520700256</v>
      </c>
      <c r="FR70" s="16">
        <f t="shared" si="88"/>
        <v>60.00761215657122</v>
      </c>
      <c r="FS70" s="17">
        <f t="shared" si="89"/>
        <v>60.00761215657122</v>
      </c>
      <c r="FT70" s="1">
        <f t="shared" si="90"/>
        <v>64.553617818412832</v>
      </c>
      <c r="FU70" s="1">
        <f t="shared" si="91"/>
        <v>62.140008712193648</v>
      </c>
      <c r="FV70" s="1">
        <f t="shared" si="92"/>
        <v>79.816111064640779</v>
      </c>
      <c r="FW70" s="16">
        <f t="shared" si="93"/>
        <v>82.083211034297932</v>
      </c>
      <c r="FX70" s="15">
        <f t="shared" si="94"/>
        <v>82.083211034297932</v>
      </c>
      <c r="FY70" s="15">
        <f t="shared" si="95"/>
        <v>84.119844215566857</v>
      </c>
      <c r="FZ70" s="15">
        <f t="shared" si="96"/>
        <v>83.038535313204548</v>
      </c>
      <c r="GA70" s="15">
        <f t="shared" si="97"/>
        <v>90.957517216081399</v>
      </c>
      <c r="GC70">
        <f t="shared" si="98"/>
        <v>62.769784172661872</v>
      </c>
      <c r="GD70">
        <f t="shared" si="99"/>
        <v>63.199590826377531</v>
      </c>
      <c r="GE70" s="14">
        <f t="shared" si="100"/>
        <v>60.686827587928413</v>
      </c>
      <c r="GF70" t="e">
        <f>IF(#REF!=FALSE,FALSE,CH70)</f>
        <v>#REF!</v>
      </c>
      <c r="GG70" t="e">
        <f>IF(#REF!=FALSE,FALSE,AN70)</f>
        <v>#REF!</v>
      </c>
      <c r="GH70" s="13" t="e">
        <f>#REF!</f>
        <v>#REF!</v>
      </c>
      <c r="GI70">
        <f t="shared" si="101"/>
        <v>63.199590826377531</v>
      </c>
      <c r="GJ70">
        <f t="shared" si="102"/>
        <v>3.8398030575071989</v>
      </c>
      <c r="GK70" s="13">
        <f t="shared" si="103"/>
        <v>82.083211034297932</v>
      </c>
      <c r="GL70" t="str">
        <f t="shared" si="104"/>
        <v>IPU</v>
      </c>
    </row>
    <row r="71" spans="1:253">
      <c r="A71" s="41" t="s">
        <v>83</v>
      </c>
      <c r="B71" s="12" t="s">
        <v>86</v>
      </c>
      <c r="C71" s="41" t="s">
        <v>82</v>
      </c>
      <c r="D71" s="101" t="s">
        <v>85</v>
      </c>
      <c r="E71" s="41" t="s">
        <v>81</v>
      </c>
      <c r="F71" s="41" t="s">
        <v>80</v>
      </c>
      <c r="G71" s="12">
        <f t="shared" si="0"/>
        <v>432</v>
      </c>
      <c r="H71" s="41">
        <v>6</v>
      </c>
      <c r="I71" s="41">
        <v>8</v>
      </c>
      <c r="J71" s="41">
        <f t="shared" si="1"/>
        <v>48</v>
      </c>
      <c r="K71" s="41" t="s">
        <v>75</v>
      </c>
      <c r="L71" s="41" t="s">
        <v>75</v>
      </c>
      <c r="M71" s="85">
        <v>0.1</v>
      </c>
      <c r="N71" s="41"/>
      <c r="O71" s="41"/>
      <c r="P71" s="41"/>
      <c r="Q71" s="41"/>
      <c r="R71" s="41"/>
      <c r="S71" s="41"/>
      <c r="T71" s="41"/>
      <c r="U71" s="41" t="s">
        <v>79</v>
      </c>
      <c r="V71" s="41">
        <f t="shared" si="2"/>
        <v>9</v>
      </c>
      <c r="W71" s="41" t="s">
        <v>5</v>
      </c>
      <c r="X71" s="72">
        <v>3.7</v>
      </c>
      <c r="Y71" s="41" t="s">
        <v>57</v>
      </c>
      <c r="Z71" s="41" t="s">
        <v>59</v>
      </c>
      <c r="AA71" s="91"/>
      <c r="AB71" s="46">
        <v>35588.026643518519</v>
      </c>
      <c r="AC71" s="46">
        <v>35589.542291666665</v>
      </c>
      <c r="AD71" s="41">
        <v>30.4</v>
      </c>
      <c r="AE71" s="41"/>
      <c r="AF71" s="41"/>
      <c r="AG71" s="41"/>
      <c r="AH71" s="12"/>
      <c r="AI71" t="b">
        <v>0</v>
      </c>
      <c r="AJ71" s="57">
        <v>2.8</v>
      </c>
      <c r="AK71" s="16">
        <f t="shared" si="3"/>
        <v>25.2</v>
      </c>
      <c r="AL71" s="7">
        <f t="shared" si="4"/>
        <v>1209.5999999999999</v>
      </c>
      <c r="AN71" s="41">
        <f t="shared" si="5"/>
        <v>2668.7999999999997</v>
      </c>
      <c r="AO71" s="41">
        <v>8.8884330034888865</v>
      </c>
      <c r="AP71" s="21"/>
      <c r="AQ71" s="21"/>
      <c r="AR71" s="21"/>
      <c r="AS71" s="45">
        <f t="shared" si="6"/>
        <v>88.884330034888862</v>
      </c>
      <c r="AT71" s="21">
        <f t="shared" si="7"/>
        <v>3839.8030575071989</v>
      </c>
      <c r="AU71">
        <f t="shared" si="8"/>
        <v>3174.4403583888879</v>
      </c>
      <c r="AV71" s="21">
        <f t="shared" si="9"/>
        <v>3.8398030575071989</v>
      </c>
      <c r="AW71" s="12">
        <v>17.204000000000001</v>
      </c>
      <c r="AX71" s="7">
        <f t="shared" si="10"/>
        <v>12.632479857114632</v>
      </c>
      <c r="AY71" s="21">
        <f t="shared" si="11"/>
        <v>5.7255124532246171</v>
      </c>
      <c r="AZ71" s="1"/>
      <c r="BA71" s="7">
        <f t="shared" si="12"/>
        <v>1440.102703711068</v>
      </c>
      <c r="BB71" s="8">
        <f t="shared" si="13"/>
        <v>1440.102703711068</v>
      </c>
      <c r="BC71" s="1">
        <f t="shared" si="14"/>
        <v>20.809958399999999</v>
      </c>
      <c r="BD71" s="1"/>
      <c r="BE71" s="1"/>
      <c r="BF71" s="39">
        <f t="shared" si="15"/>
        <v>15.280247635165857</v>
      </c>
      <c r="BG71" s="7">
        <f t="shared" si="16"/>
        <v>5.5297107648341433</v>
      </c>
      <c r="BH71" s="100">
        <v>2.2999999999999998</v>
      </c>
      <c r="BI71" s="41"/>
      <c r="BJ71" s="41">
        <f t="shared" si="17"/>
        <v>993.59999999999991</v>
      </c>
      <c r="BK71" s="56">
        <v>3.2709797144072121</v>
      </c>
      <c r="BL71" s="15"/>
      <c r="BM71" s="15"/>
      <c r="BN71" s="15"/>
      <c r="BO71" s="15"/>
      <c r="BP71" s="15"/>
      <c r="BQ71" s="45">
        <f t="shared" si="18"/>
        <v>1413.0632366239156</v>
      </c>
      <c r="BR71" s="41">
        <f t="shared" si="19"/>
        <v>1.4130632366239155</v>
      </c>
      <c r="BS71" s="12">
        <v>6.8000000000000007</v>
      </c>
      <c r="BT71" s="7">
        <f t="shared" si="20"/>
        <v>5.8513407308940613</v>
      </c>
      <c r="BU71" s="1"/>
      <c r="BV71" s="7">
        <f t="shared" si="21"/>
        <v>667.05284332192298</v>
      </c>
      <c r="BW71" s="13">
        <f t="shared" si="22"/>
        <v>6.7564800000000007</v>
      </c>
      <c r="BX71" s="13"/>
      <c r="BY71" s="1"/>
      <c r="BZ71" s="90">
        <f t="shared" si="23"/>
        <v>5.813892150216339</v>
      </c>
      <c r="CA71" s="7">
        <f t="shared" si="24"/>
        <v>0.94258784978366206</v>
      </c>
      <c r="CB71" s="38">
        <f t="shared" si="25"/>
        <v>61.951584234562482</v>
      </c>
      <c r="CC71" s="35" t="b">
        <f t="shared" si="26"/>
        <v>1</v>
      </c>
      <c r="CD71" s="35" t="b">
        <f t="shared" si="27"/>
        <v>1</v>
      </c>
      <c r="CE71" s="38">
        <f t="shared" si="28"/>
        <v>82.954120208637477</v>
      </c>
      <c r="CF71" s="35" t="b">
        <f t="shared" si="29"/>
        <v>1</v>
      </c>
      <c r="CG71" s="35" t="b">
        <f t="shared" si="30"/>
        <v>1</v>
      </c>
      <c r="CH71" s="1">
        <f t="shared" si="31"/>
        <v>62.769784172661872</v>
      </c>
      <c r="CI71" s="16">
        <f t="shared" si="32"/>
        <v>63.199590826377531</v>
      </c>
      <c r="CJ71" s="35" t="b">
        <f t="shared" si="33"/>
        <v>1</v>
      </c>
      <c r="CK71" s="35" t="b">
        <f t="shared" si="34"/>
        <v>1</v>
      </c>
      <c r="CL71" s="32">
        <f t="shared" si="35"/>
        <v>17.857142857142858</v>
      </c>
      <c r="CM71" s="32">
        <f t="shared" si="36"/>
        <v>67.532467532467535</v>
      </c>
      <c r="CN71" s="35" t="b">
        <f t="shared" si="37"/>
        <v>1</v>
      </c>
      <c r="CO71" s="35" t="b">
        <f t="shared" si="38"/>
        <v>1</v>
      </c>
      <c r="CP71">
        <f t="shared" si="39"/>
        <v>1997</v>
      </c>
      <c r="CQ71" s="46">
        <v>35496</v>
      </c>
      <c r="CR71" s="88">
        <f t="shared" si="40"/>
        <v>93.542291666664823</v>
      </c>
      <c r="CS71" t="str">
        <f t="shared" si="41"/>
        <v>DFF</v>
      </c>
      <c r="CT71">
        <f t="shared" si="42"/>
        <v>6</v>
      </c>
      <c r="CU71" s="89"/>
      <c r="CV71" s="89"/>
      <c r="CW71">
        <v>0.9</v>
      </c>
      <c r="CX71" s="12">
        <v>3186</v>
      </c>
      <c r="CY71" s="21" t="s">
        <v>78</v>
      </c>
      <c r="CZ71">
        <v>11</v>
      </c>
      <c r="DA71" s="1">
        <f t="shared" si="43"/>
        <v>2668.7999999999997</v>
      </c>
      <c r="DB71" s="64">
        <v>114</v>
      </c>
      <c r="DC71" s="64" t="s">
        <v>87</v>
      </c>
      <c r="DD71" s="60">
        <f t="shared" si="44"/>
        <v>28.673999999999999</v>
      </c>
      <c r="DE71" s="60">
        <f t="shared" si="45"/>
        <v>24.239228791515369</v>
      </c>
      <c r="DF71" s="2">
        <f t="shared" si="46"/>
        <v>0.96037913803704777</v>
      </c>
      <c r="DG71" s="1">
        <f t="shared" si="47"/>
        <v>6.1680109196725939</v>
      </c>
      <c r="DH71" s="2">
        <f t="shared" si="48"/>
        <v>0.86049128395500885</v>
      </c>
      <c r="DI71" s="7">
        <f t="shared" si="49"/>
        <v>73.946743936042012</v>
      </c>
      <c r="DJ71" s="31">
        <f t="shared" si="50"/>
        <v>5.4216717487551342</v>
      </c>
      <c r="DK71" s="31">
        <f t="shared" si="51"/>
        <v>4.6653012842689039</v>
      </c>
      <c r="DL71" s="31">
        <f t="shared" si="52"/>
        <v>0.75637046448623069</v>
      </c>
      <c r="DM71" s="30">
        <f t="shared" si="53"/>
        <v>69.468418342041716</v>
      </c>
      <c r="DN71" s="30">
        <f t="shared" si="54"/>
        <v>86.321699331973718</v>
      </c>
      <c r="DO71" s="7">
        <v>24.79</v>
      </c>
      <c r="DP71" s="7">
        <f t="shared" si="55"/>
        <v>33.89568345323741</v>
      </c>
      <c r="DQ71" s="7">
        <f t="shared" si="56"/>
        <v>32.863787229716316</v>
      </c>
      <c r="DR71" s="7">
        <f t="shared" si="57"/>
        <v>-7.8127267469117108</v>
      </c>
      <c r="DS71" s="6">
        <f t="shared" si="58"/>
        <v>-9.7900000000000009</v>
      </c>
      <c r="DT71" s="5">
        <f t="shared" si="105"/>
        <v>1647.3375485558206</v>
      </c>
      <c r="DU71" s="5">
        <f t="shared" si="106"/>
        <v>1647.3375485558206</v>
      </c>
      <c r="DV71" s="5">
        <f t="shared" si="107"/>
        <v>1319.7025128709613</v>
      </c>
      <c r="DW71" s="5">
        <f t="shared" si="108"/>
        <v>62.88399422701012</v>
      </c>
      <c r="DX71" s="5">
        <f t="shared" si="109"/>
        <v>62.88399422701012</v>
      </c>
      <c r="DY71" s="5">
        <f t="shared" si="110"/>
        <v>62.805642854570266</v>
      </c>
      <c r="DZ71" s="5">
        <f t="shared" si="111"/>
        <v>0</v>
      </c>
      <c r="EA71" s="5">
        <f t="shared" si="112"/>
        <v>0</v>
      </c>
      <c r="EB71" s="5">
        <f t="shared" si="113"/>
        <v>-7.8351372439840361E-2</v>
      </c>
      <c r="EC71" s="16">
        <f t="shared" si="59"/>
        <v>62.883994227010106</v>
      </c>
      <c r="ED71" s="3">
        <f t="shared" si="114"/>
        <v>13.086133038899206</v>
      </c>
      <c r="EE71" s="16">
        <f t="shared" si="60"/>
        <v>7.7238253611007934</v>
      </c>
      <c r="EF71" s="16">
        <f t="shared" si="61"/>
        <v>2.4267398208832835</v>
      </c>
      <c r="EG71" s="16">
        <f t="shared" si="62"/>
        <v>1675.1999999999998</v>
      </c>
      <c r="EH71" s="16">
        <f t="shared" si="63"/>
        <v>5.725512453224617E-3</v>
      </c>
      <c r="EI71" s="20">
        <f t="shared" si="64"/>
        <v>6.6462844020178817</v>
      </c>
      <c r="EJ71" s="26">
        <f t="shared" si="115"/>
        <v>1.0775409590829119</v>
      </c>
      <c r="EK71" s="29">
        <f t="shared" si="65"/>
        <v>56.504079248544578</v>
      </c>
      <c r="EL71" s="28">
        <f t="shared" si="66"/>
        <v>80.513610839549372</v>
      </c>
      <c r="EM71" s="25">
        <f t="shared" si="67"/>
        <v>80.158906520700256</v>
      </c>
      <c r="EN71" s="25">
        <f t="shared" si="68"/>
        <v>1</v>
      </c>
      <c r="EO71" s="25">
        <f t="shared" si="69"/>
        <v>20.841093479299744</v>
      </c>
      <c r="EP71" s="25">
        <f t="shared" si="70"/>
        <v>4.5652046481291224</v>
      </c>
      <c r="EQ71" s="26">
        <f t="shared" si="71"/>
        <v>4.128923299147389</v>
      </c>
      <c r="ER71" s="26">
        <f t="shared" si="72"/>
        <v>3.5529025110350876</v>
      </c>
      <c r="ES71" s="26">
        <f t="shared" si="73"/>
        <v>0.57602078811230117</v>
      </c>
      <c r="ET71" s="25">
        <f t="shared" si="74"/>
        <v>76.748397042607735</v>
      </c>
      <c r="EU71" s="25">
        <f t="shared" si="75"/>
        <v>89.583166053178218</v>
      </c>
      <c r="EZ71" s="22">
        <f t="shared" si="76"/>
        <v>35589.542291666665</v>
      </c>
      <c r="FA71" s="19">
        <f t="shared" si="77"/>
        <v>1440.102703711068</v>
      </c>
      <c r="FB71" s="19">
        <f t="shared" si="78"/>
        <v>667.05284332192298</v>
      </c>
      <c r="FC71" s="19" t="b">
        <v>1</v>
      </c>
      <c r="FD71" s="19" t="b">
        <v>1</v>
      </c>
      <c r="FE71" s="20">
        <f t="shared" si="79"/>
        <v>2.7632996163813224</v>
      </c>
      <c r="FF71" s="20">
        <f t="shared" si="80"/>
        <v>114</v>
      </c>
      <c r="FG71" s="20">
        <f t="shared" si="81"/>
        <v>6.1680109196725947</v>
      </c>
      <c r="FH71" s="20">
        <f t="shared" si="82"/>
        <v>114</v>
      </c>
      <c r="FI71" s="19" t="s">
        <v>77</v>
      </c>
      <c r="FJ71" s="21" t="s">
        <v>76</v>
      </c>
      <c r="FK71" s="16">
        <f t="shared" si="83"/>
        <v>67.532467532467535</v>
      </c>
      <c r="FL71" s="17">
        <f t="shared" si="84"/>
        <v>67.532467532467535</v>
      </c>
      <c r="FM71" s="1">
        <f t="shared" si="85"/>
        <v>73.946743936042012</v>
      </c>
      <c r="FN71" s="1">
        <f t="shared" si="86"/>
        <v>62.883994227010106</v>
      </c>
      <c r="FO71" s="1">
        <f t="shared" si="116"/>
        <v>62.88399422701012</v>
      </c>
      <c r="FP71" s="1">
        <f t="shared" si="117"/>
        <v>62.805642854570266</v>
      </c>
      <c r="FQ71" s="1">
        <f t="shared" si="87"/>
        <v>80.158906520700256</v>
      </c>
      <c r="FR71" s="16">
        <f t="shared" si="88"/>
        <v>61.951584234562482</v>
      </c>
      <c r="FS71" s="17">
        <f t="shared" si="89"/>
        <v>61.951584234562482</v>
      </c>
      <c r="FT71" s="1">
        <f t="shared" si="90"/>
        <v>69.468418342041716</v>
      </c>
      <c r="FU71" s="1">
        <f t="shared" si="91"/>
        <v>56.504079248544578</v>
      </c>
      <c r="FV71" s="1">
        <f t="shared" si="92"/>
        <v>76.748397042607735</v>
      </c>
      <c r="FW71" s="16">
        <f t="shared" si="93"/>
        <v>82.954120208637477</v>
      </c>
      <c r="FX71" s="15">
        <f t="shared" si="94"/>
        <v>82.954120208637477</v>
      </c>
      <c r="FY71" s="15">
        <f t="shared" si="95"/>
        <v>86.321699331973718</v>
      </c>
      <c r="FZ71" s="15">
        <f t="shared" si="96"/>
        <v>80.513610839549372</v>
      </c>
      <c r="GA71" s="15">
        <f t="shared" si="97"/>
        <v>89.583166053178218</v>
      </c>
      <c r="GC71">
        <f t="shared" si="98"/>
        <v>62.769784172661872</v>
      </c>
      <c r="GD71">
        <f t="shared" si="99"/>
        <v>63.199590826377531</v>
      </c>
      <c r="GE71" s="14">
        <f t="shared" si="100"/>
        <v>67.532467532467535</v>
      </c>
      <c r="GF71" t="e">
        <f>IF(#REF!=FALSE,FALSE,CH71)</f>
        <v>#REF!</v>
      </c>
      <c r="GG71" t="e">
        <f>IF(#REF!=FALSE,FALSE,AN71)</f>
        <v>#REF!</v>
      </c>
      <c r="GH71" s="13" t="e">
        <f>#REF!</f>
        <v>#REF!</v>
      </c>
      <c r="GI71">
        <f t="shared" si="101"/>
        <v>63.199590826377531</v>
      </c>
      <c r="GJ71">
        <f t="shared" si="102"/>
        <v>3.8398030575071989</v>
      </c>
      <c r="GK71" s="13">
        <f t="shared" si="103"/>
        <v>82.954120208637477</v>
      </c>
      <c r="GL71" t="str">
        <f t="shared" si="104"/>
        <v>DFF</v>
      </c>
    </row>
    <row r="72" spans="1:253">
      <c r="A72" s="21" t="s">
        <v>83</v>
      </c>
      <c r="B72" s="1" t="s">
        <v>86</v>
      </c>
      <c r="C72" s="21" t="s">
        <v>82</v>
      </c>
      <c r="D72" s="99" t="s">
        <v>85</v>
      </c>
      <c r="E72" s="21" t="s">
        <v>81</v>
      </c>
      <c r="F72" s="21" t="s">
        <v>80</v>
      </c>
      <c r="G72" s="96">
        <f t="shared" si="0"/>
        <v>432</v>
      </c>
      <c r="H72" s="21">
        <v>6</v>
      </c>
      <c r="I72" s="21">
        <v>8</v>
      </c>
      <c r="J72" s="21">
        <f t="shared" si="1"/>
        <v>48</v>
      </c>
      <c r="K72" s="21" t="s">
        <v>84</v>
      </c>
      <c r="L72" s="21" t="s">
        <v>84</v>
      </c>
      <c r="M72" s="85">
        <v>0.1</v>
      </c>
      <c r="N72" s="21"/>
      <c r="O72" s="21"/>
      <c r="P72" s="21"/>
      <c r="Q72" s="21"/>
      <c r="R72" s="21"/>
      <c r="S72" s="21"/>
      <c r="T72" s="21"/>
      <c r="U72" s="21" t="s">
        <v>79</v>
      </c>
      <c r="V72" s="21">
        <f t="shared" si="2"/>
        <v>9</v>
      </c>
      <c r="W72" s="21" t="s">
        <v>5</v>
      </c>
      <c r="X72" s="36">
        <v>3.7</v>
      </c>
      <c r="Y72" s="21" t="s">
        <v>57</v>
      </c>
      <c r="Z72" s="21" t="s">
        <v>59</v>
      </c>
      <c r="AA72" s="91"/>
      <c r="AB72" s="52">
        <v>35605.172719907408</v>
      </c>
      <c r="AC72" s="52">
        <v>35608.432673611111</v>
      </c>
      <c r="AD72" s="21">
        <v>35.799999999999997</v>
      </c>
      <c r="AE72" s="21"/>
      <c r="AF72" s="21"/>
      <c r="AG72" s="21"/>
      <c r="AI72" t="b">
        <v>0</v>
      </c>
      <c r="AJ72" s="14">
        <v>7.1</v>
      </c>
      <c r="AK72" s="16">
        <f t="shared" si="3"/>
        <v>63.9</v>
      </c>
      <c r="AL72" s="7">
        <f t="shared" si="4"/>
        <v>3067.2</v>
      </c>
      <c r="AN72" s="21">
        <f t="shared" si="5"/>
        <v>4785.5999999999995</v>
      </c>
      <c r="AO72" s="21">
        <v>6.1480736873583002</v>
      </c>
      <c r="AP72" s="21"/>
      <c r="AQ72" s="21"/>
      <c r="AR72" s="21"/>
      <c r="AS72" s="45">
        <f t="shared" si="6"/>
        <v>61.480736873583005</v>
      </c>
      <c r="AT72" s="21">
        <f t="shared" si="7"/>
        <v>2655.9678329387857</v>
      </c>
      <c r="AU72">
        <f t="shared" si="8"/>
        <v>865.92587145891548</v>
      </c>
      <c r="AV72" s="21">
        <f t="shared" si="9"/>
        <v>2.6559678329387859</v>
      </c>
      <c r="AW72">
        <v>0.78800000000000003</v>
      </c>
      <c r="AX72" s="7">
        <f t="shared" si="10"/>
        <v>0.77723160078030251</v>
      </c>
      <c r="AY72" s="21">
        <f t="shared" si="11"/>
        <v>0.49814542918617188</v>
      </c>
      <c r="BA72" s="7">
        <f t="shared" si="12"/>
        <v>12.43570561248484</v>
      </c>
      <c r="BB72" s="8">
        <f t="shared" si="13"/>
        <v>12.43570561248484</v>
      </c>
      <c r="BC72">
        <f t="shared" si="14"/>
        <v>2.4169535999999998</v>
      </c>
      <c r="BF72" s="39">
        <f t="shared" si="15"/>
        <v>2.3839247659133438</v>
      </c>
      <c r="BG72" s="7">
        <f t="shared" si="16"/>
        <v>3.3028834086656057E-2</v>
      </c>
      <c r="BH72" s="13">
        <v>4.4000000000000004</v>
      </c>
      <c r="BI72" s="21"/>
      <c r="BJ72" s="21">
        <f t="shared" si="17"/>
        <v>1900.8000000000002</v>
      </c>
      <c r="BK72" s="13">
        <v>1.1257484633508723</v>
      </c>
      <c r="BL72" s="13"/>
      <c r="BM72" s="13"/>
      <c r="BN72" s="13"/>
      <c r="BO72" s="13"/>
      <c r="BP72" s="13"/>
      <c r="BQ72" s="45">
        <f t="shared" si="18"/>
        <v>486.32333616757683</v>
      </c>
      <c r="BR72" s="21">
        <f t="shared" si="19"/>
        <v>0.48632333616757684</v>
      </c>
      <c r="BS72">
        <v>0.65549999999999997</v>
      </c>
      <c r="BT72" s="7">
        <f t="shared" si="20"/>
        <v>0.6528275649886579</v>
      </c>
      <c r="BV72" s="7">
        <f t="shared" si="21"/>
        <v>10.445241039818526</v>
      </c>
      <c r="BW72" s="13">
        <f t="shared" si="22"/>
        <v>1.2459744000000001</v>
      </c>
      <c r="BX72" s="13"/>
      <c r="BZ72" s="90">
        <f t="shared" si="23"/>
        <v>1.2408946355304411</v>
      </c>
      <c r="CA72" s="7">
        <f t="shared" si="24"/>
        <v>5.0797644695590345E-3</v>
      </c>
      <c r="CB72" s="38">
        <f t="shared" si="25"/>
        <v>47.947407851395759</v>
      </c>
      <c r="CC72" s="35" t="b">
        <f t="shared" si="26"/>
        <v>1</v>
      </c>
      <c r="CD72" s="35" t="b">
        <f t="shared" si="27"/>
        <v>1</v>
      </c>
      <c r="CE72" s="38">
        <f t="shared" si="28"/>
        <v>84.620212580827044</v>
      </c>
      <c r="CF72" s="35" t="b">
        <f t="shared" si="29"/>
        <v>1</v>
      </c>
      <c r="CG72" s="35" t="b">
        <f t="shared" si="30"/>
        <v>1</v>
      </c>
      <c r="CH72" s="1">
        <f t="shared" si="31"/>
        <v>60.280842527582749</v>
      </c>
      <c r="CI72" s="16">
        <f t="shared" si="32"/>
        <v>81.689411666199746</v>
      </c>
      <c r="CJ72" s="35" t="b">
        <f t="shared" si="33"/>
        <v>1</v>
      </c>
      <c r="CK72" s="35" t="b">
        <f t="shared" si="34"/>
        <v>1</v>
      </c>
      <c r="CL72" s="32">
        <f t="shared" si="35"/>
        <v>38.028169014084497</v>
      </c>
      <c r="CM72" s="32">
        <f t="shared" si="36"/>
        <v>48.448559376563942</v>
      </c>
      <c r="CN72" s="35" t="b">
        <f t="shared" si="37"/>
        <v>1</v>
      </c>
      <c r="CO72" s="35" t="b">
        <f t="shared" si="38"/>
        <v>1</v>
      </c>
      <c r="CP72">
        <f t="shared" si="39"/>
        <v>1997</v>
      </c>
      <c r="CQ72" s="52">
        <v>35499</v>
      </c>
      <c r="CR72" s="88">
        <f t="shared" si="40"/>
        <v>109.43267361111066</v>
      </c>
      <c r="CS72" t="str">
        <f t="shared" si="41"/>
        <v>IPU</v>
      </c>
      <c r="CT72">
        <f t="shared" si="42"/>
        <v>6</v>
      </c>
      <c r="CU72" s="89"/>
      <c r="CV72" s="89"/>
      <c r="CW72">
        <v>0.9</v>
      </c>
      <c r="CX72">
        <v>81</v>
      </c>
      <c r="CY72" s="21" t="s">
        <v>78</v>
      </c>
      <c r="CZ72">
        <v>11</v>
      </c>
      <c r="DA72" s="1">
        <f t="shared" si="43"/>
        <v>4785.5999999999995</v>
      </c>
      <c r="DB72" s="8">
        <v>16</v>
      </c>
      <c r="DC72" s="8" t="s">
        <v>87</v>
      </c>
      <c r="DD72" s="9">
        <f t="shared" si="44"/>
        <v>0.72900000000000009</v>
      </c>
      <c r="DE72" s="9">
        <f t="shared" si="45"/>
        <v>2471.644788797877</v>
      </c>
      <c r="DF72" s="2">
        <f t="shared" si="46"/>
        <v>0.99959557474469019</v>
      </c>
      <c r="DG72" s="1">
        <f t="shared" si="47"/>
        <v>244.28192349598461</v>
      </c>
      <c r="DH72" s="2">
        <f t="shared" si="48"/>
        <v>0.99592305871648801</v>
      </c>
      <c r="DI72" s="7">
        <f t="shared" si="49"/>
        <v>71.122583467390427</v>
      </c>
      <c r="DJ72" s="31">
        <f t="shared" si="50"/>
        <v>0.69795375847190211</v>
      </c>
      <c r="DK72" s="31">
        <f t="shared" si="51"/>
        <v>0.69510824198000565</v>
      </c>
      <c r="DL72" s="31">
        <f t="shared" si="52"/>
        <v>2.8455164918964279E-3</v>
      </c>
      <c r="DM72" s="30">
        <f t="shared" si="53"/>
        <v>70.841854914255592</v>
      </c>
      <c r="DN72" s="30">
        <f t="shared" si="54"/>
        <v>91.384750414044916</v>
      </c>
      <c r="DO72" s="7">
        <v>24.79</v>
      </c>
      <c r="DP72" s="7">
        <f t="shared" si="55"/>
        <v>32.551654964894688</v>
      </c>
      <c r="DQ72" s="7">
        <f t="shared" si="56"/>
        <v>42.47849406642387</v>
      </c>
      <c r="DR72" s="7">
        <f t="shared" si="57"/>
        <v>-18.907565563928113</v>
      </c>
      <c r="DS72" s="6">
        <f t="shared" si="58"/>
        <v>-9.7900000000000009</v>
      </c>
      <c r="DT72" s="5">
        <f t="shared" si="105"/>
        <v>3109.6954853270204</v>
      </c>
      <c r="DU72" s="5">
        <f t="shared" si="106"/>
        <v>3109.6954853270204</v>
      </c>
      <c r="DV72" s="5">
        <f t="shared" si="107"/>
        <v>3069.1362005502124</v>
      </c>
      <c r="DW72" s="5">
        <f t="shared" si="108"/>
        <v>60.573400927591784</v>
      </c>
      <c r="DX72" s="5">
        <f t="shared" si="109"/>
        <v>60.573400927591784</v>
      </c>
      <c r="DY72" s="5">
        <f t="shared" si="110"/>
        <v>60.294348374386807</v>
      </c>
      <c r="DZ72" s="5">
        <f t="shared" si="111"/>
        <v>0</v>
      </c>
      <c r="EA72" s="5">
        <f t="shared" si="112"/>
        <v>0</v>
      </c>
      <c r="EB72" s="5">
        <f t="shared" si="113"/>
        <v>-0.27905255320498412</v>
      </c>
      <c r="EC72" s="16">
        <f t="shared" si="59"/>
        <v>60.573400927591791</v>
      </c>
      <c r="ED72" s="3">
        <f t="shared" si="114"/>
        <v>1.464030994361863</v>
      </c>
      <c r="EE72" s="16">
        <f t="shared" si="60"/>
        <v>0.9529226056381368</v>
      </c>
      <c r="EF72" s="16">
        <f t="shared" si="61"/>
        <v>2.169644496771209</v>
      </c>
      <c r="EG72" s="16">
        <f t="shared" si="62"/>
        <v>2884.7999999999993</v>
      </c>
      <c r="EH72" s="16">
        <f t="shared" si="63"/>
        <v>4.9814542918617192E-4</v>
      </c>
      <c r="EI72" s="20">
        <f t="shared" si="64"/>
        <v>0.94903759612721894</v>
      </c>
      <c r="EJ72" s="26">
        <f t="shared" si="115"/>
        <v>3.8850095109178992E-3</v>
      </c>
      <c r="EK72" s="29">
        <f t="shared" si="65"/>
        <v>60.19011968426706</v>
      </c>
      <c r="EL72" s="28">
        <f t="shared" si="66"/>
        <v>88.237521491903109</v>
      </c>
      <c r="EM72" s="25">
        <f t="shared" si="67"/>
        <v>75.401209518952271</v>
      </c>
      <c r="EN72" s="25">
        <f t="shared" si="68"/>
        <v>1</v>
      </c>
      <c r="EO72" s="25">
        <f t="shared" si="69"/>
        <v>25.598790481047722</v>
      </c>
      <c r="EP72" s="25">
        <f t="shared" si="70"/>
        <v>5.059524728771243</v>
      </c>
      <c r="EQ72" s="26">
        <f t="shared" si="71"/>
        <v>0.5945413520881403</v>
      </c>
      <c r="ER72" s="26">
        <f t="shared" si="72"/>
        <v>0.59211744190505711</v>
      </c>
      <c r="ES72" s="26">
        <f t="shared" si="73"/>
        <v>2.4239101830831541E-3</v>
      </c>
      <c r="ET72" s="25">
        <f t="shared" si="74"/>
        <v>75.162075147191089</v>
      </c>
      <c r="EU72" s="25">
        <f t="shared" si="75"/>
        <v>92.661229952217923</v>
      </c>
      <c r="EZ72" s="22">
        <f t="shared" si="76"/>
        <v>35608.432673611111</v>
      </c>
      <c r="FA72" s="19">
        <f t="shared" si="77"/>
        <v>12.43570561248484</v>
      </c>
      <c r="FB72" s="19">
        <f t="shared" si="78"/>
        <v>10.445241039818526</v>
      </c>
      <c r="FC72" s="19" t="b">
        <v>1</v>
      </c>
      <c r="FD72" s="19" t="b">
        <v>1</v>
      </c>
      <c r="FE72" s="20">
        <f t="shared" si="79"/>
        <v>72.177078962544144</v>
      </c>
      <c r="FF72" s="20">
        <f t="shared" si="80"/>
        <v>16</v>
      </c>
      <c r="FG72" s="20">
        <f t="shared" si="81"/>
        <v>244.28192349598464</v>
      </c>
      <c r="FH72" s="20">
        <f t="shared" si="82"/>
        <v>16</v>
      </c>
      <c r="FI72" s="19" t="s">
        <v>77</v>
      </c>
      <c r="FJ72" s="21" t="s">
        <v>76</v>
      </c>
      <c r="FK72" s="16">
        <f t="shared" si="83"/>
        <v>48.448559376563942</v>
      </c>
      <c r="FL72" s="17">
        <f t="shared" si="84"/>
        <v>48.448559376563942</v>
      </c>
      <c r="FM72" s="1">
        <f t="shared" si="85"/>
        <v>71.122583467390427</v>
      </c>
      <c r="FN72" s="1">
        <f t="shared" si="86"/>
        <v>60.573400927591791</v>
      </c>
      <c r="FO72" s="1">
        <f t="shared" si="116"/>
        <v>60.573400927591784</v>
      </c>
      <c r="FP72" s="1">
        <f t="shared" si="117"/>
        <v>60.294348374386807</v>
      </c>
      <c r="FQ72" s="1">
        <f t="shared" si="87"/>
        <v>75.401209518952271</v>
      </c>
      <c r="FR72" s="16">
        <f t="shared" si="88"/>
        <v>47.947407851395759</v>
      </c>
      <c r="FS72" s="17">
        <f t="shared" si="89"/>
        <v>47.947407851395759</v>
      </c>
      <c r="FT72" s="1">
        <f t="shared" si="90"/>
        <v>70.841854914255592</v>
      </c>
      <c r="FU72" s="1">
        <f t="shared" si="91"/>
        <v>60.19011968426706</v>
      </c>
      <c r="FV72" s="1">
        <f t="shared" si="92"/>
        <v>75.162075147191089</v>
      </c>
      <c r="FW72" s="16">
        <f t="shared" si="93"/>
        <v>84.620212580827044</v>
      </c>
      <c r="FX72" s="15">
        <f t="shared" si="94"/>
        <v>84.620212580827044</v>
      </c>
      <c r="FY72" s="15">
        <f t="shared" si="95"/>
        <v>91.384750414044916</v>
      </c>
      <c r="FZ72" s="15">
        <f t="shared" si="96"/>
        <v>88.237521491903109</v>
      </c>
      <c r="GA72" s="15">
        <f t="shared" si="97"/>
        <v>92.661229952217923</v>
      </c>
      <c r="GC72">
        <f t="shared" si="98"/>
        <v>60.280842527582749</v>
      </c>
      <c r="GD72">
        <f t="shared" si="99"/>
        <v>81.689411666199746</v>
      </c>
      <c r="GE72" s="14">
        <f t="shared" si="100"/>
        <v>48.448559376563942</v>
      </c>
      <c r="GF72" t="e">
        <f>IF(#REF!=FALSE,FALSE,CH72)</f>
        <v>#REF!</v>
      </c>
      <c r="GG72" t="e">
        <f>IF(#REF!=FALSE,FALSE,AN72)</f>
        <v>#REF!</v>
      </c>
      <c r="GH72" s="13" t="e">
        <f>#REF!</f>
        <v>#REF!</v>
      </c>
      <c r="GI72">
        <f t="shared" si="101"/>
        <v>81.689411666199746</v>
      </c>
      <c r="GJ72">
        <f t="shared" si="102"/>
        <v>2.6559678329387859</v>
      </c>
      <c r="GK72" s="13">
        <f t="shared" si="103"/>
        <v>84.620212580827044</v>
      </c>
      <c r="GL72" t="str">
        <f t="shared" si="104"/>
        <v>IPU</v>
      </c>
    </row>
    <row r="73" spans="1:253">
      <c r="A73" s="41" t="s">
        <v>83</v>
      </c>
      <c r="B73" s="12" t="s">
        <v>86</v>
      </c>
      <c r="C73" s="41" t="s">
        <v>82</v>
      </c>
      <c r="D73" s="101" t="s">
        <v>85</v>
      </c>
      <c r="E73" s="41" t="s">
        <v>81</v>
      </c>
      <c r="F73" s="41" t="s">
        <v>80</v>
      </c>
      <c r="G73" s="12">
        <f t="shared" si="0"/>
        <v>432</v>
      </c>
      <c r="H73" s="41">
        <v>6</v>
      </c>
      <c r="I73" s="41">
        <v>8</v>
      </c>
      <c r="J73" s="41">
        <f t="shared" si="1"/>
        <v>48</v>
      </c>
      <c r="K73" s="41" t="s">
        <v>75</v>
      </c>
      <c r="L73" s="41" t="s">
        <v>75</v>
      </c>
      <c r="M73" s="85">
        <v>0.1</v>
      </c>
      <c r="N73" s="41"/>
      <c r="O73" s="41"/>
      <c r="P73" s="41"/>
      <c r="Q73" s="41"/>
      <c r="R73" s="41"/>
      <c r="S73" s="41"/>
      <c r="T73" s="41"/>
      <c r="U73" s="41" t="s">
        <v>79</v>
      </c>
      <c r="V73" s="41">
        <f t="shared" si="2"/>
        <v>9</v>
      </c>
      <c r="W73" s="41" t="s">
        <v>5</v>
      </c>
      <c r="X73" s="72">
        <v>3.7</v>
      </c>
      <c r="Y73" s="41" t="s">
        <v>57</v>
      </c>
      <c r="Z73" s="41" t="s">
        <v>59</v>
      </c>
      <c r="AA73" s="91"/>
      <c r="AB73" s="46">
        <v>35605.172719907408</v>
      </c>
      <c r="AC73" s="46">
        <v>35608.432673611111</v>
      </c>
      <c r="AD73" s="41">
        <v>35.799999999999997</v>
      </c>
      <c r="AE73" s="41"/>
      <c r="AF73" s="41"/>
      <c r="AG73" s="41"/>
      <c r="AH73" s="12"/>
      <c r="AI73" t="b">
        <v>0</v>
      </c>
      <c r="AJ73" s="57">
        <v>7.1</v>
      </c>
      <c r="AK73" s="16">
        <f t="shared" si="3"/>
        <v>63.9</v>
      </c>
      <c r="AL73" s="7">
        <f t="shared" si="4"/>
        <v>3067.2</v>
      </c>
      <c r="AN73" s="41">
        <f t="shared" si="5"/>
        <v>4785.5999999999995</v>
      </c>
      <c r="AO73" s="41">
        <v>6.1480736873583002</v>
      </c>
      <c r="AP73" s="21"/>
      <c r="AQ73" s="21"/>
      <c r="AR73" s="21"/>
      <c r="AS73" s="45">
        <f t="shared" si="6"/>
        <v>61.480736873583005</v>
      </c>
      <c r="AT73" s="21">
        <f t="shared" si="7"/>
        <v>2655.9678329387857</v>
      </c>
      <c r="AU73">
        <f t="shared" si="8"/>
        <v>865.92587145891548</v>
      </c>
      <c r="AV73" s="21">
        <f t="shared" si="9"/>
        <v>2.6559678329387859</v>
      </c>
      <c r="AW73" s="12">
        <v>2.8719999999999999</v>
      </c>
      <c r="AX73" s="7">
        <f t="shared" si="10"/>
        <v>2.6037011497347824</v>
      </c>
      <c r="AY73" s="21">
        <f t="shared" si="11"/>
        <v>1.6687713487267062</v>
      </c>
      <c r="AZ73" s="1"/>
      <c r="BA73" s="7">
        <f t="shared" si="12"/>
        <v>309.84043681843912</v>
      </c>
      <c r="BB73" s="8">
        <f t="shared" si="13"/>
        <v>309.84043681843912</v>
      </c>
      <c r="BC73" s="1">
        <f t="shared" si="14"/>
        <v>8.8089983999999983</v>
      </c>
      <c r="BD73" s="1"/>
      <c r="BE73" s="1"/>
      <c r="BF73" s="39">
        <f t="shared" si="15"/>
        <v>7.9860721664665242</v>
      </c>
      <c r="BG73" s="7">
        <f t="shared" si="16"/>
        <v>0.82292623353347649</v>
      </c>
      <c r="BH73" s="100">
        <v>4.4000000000000004</v>
      </c>
      <c r="BI73" s="41"/>
      <c r="BJ73" s="41">
        <f t="shared" si="17"/>
        <v>1900.8000000000002</v>
      </c>
      <c r="BK73" s="56">
        <v>1.1257484633508723</v>
      </c>
      <c r="BL73" s="15"/>
      <c r="BM73" s="15"/>
      <c r="BN73" s="15"/>
      <c r="BO73" s="15"/>
      <c r="BP73" s="15"/>
      <c r="BQ73" s="45">
        <f t="shared" si="18"/>
        <v>486.32333616757683</v>
      </c>
      <c r="BR73" s="41">
        <f t="shared" si="19"/>
        <v>0.48632333616757684</v>
      </c>
      <c r="BS73" s="12">
        <v>3.1379999999999999</v>
      </c>
      <c r="BT73" s="7">
        <f t="shared" si="20"/>
        <v>3.0452821847600799</v>
      </c>
      <c r="BU73" s="1"/>
      <c r="BV73" s="7">
        <f t="shared" si="21"/>
        <v>362.38857998644949</v>
      </c>
      <c r="BW73" s="13">
        <f t="shared" si="22"/>
        <v>5.9647103999999995</v>
      </c>
      <c r="BX73" s="13"/>
      <c r="BY73" s="1"/>
      <c r="BZ73" s="90">
        <f t="shared" si="23"/>
        <v>5.7884723767919608</v>
      </c>
      <c r="CA73" s="7">
        <f t="shared" si="24"/>
        <v>0.17623802320804088</v>
      </c>
      <c r="CB73" s="38">
        <f t="shared" si="25"/>
        <v>27.517905471757111</v>
      </c>
      <c r="CC73" s="35" t="b">
        <f t="shared" si="26"/>
        <v>1</v>
      </c>
      <c r="CD73" s="35" t="b">
        <f t="shared" si="27"/>
        <v>1</v>
      </c>
      <c r="CE73" s="38">
        <f t="shared" si="28"/>
        <v>78.583982861828233</v>
      </c>
      <c r="CF73" s="35" t="b">
        <f t="shared" si="29"/>
        <v>1</v>
      </c>
      <c r="CG73" s="35" t="b">
        <f t="shared" si="30"/>
        <v>1</v>
      </c>
      <c r="CH73" s="1">
        <f t="shared" si="31"/>
        <v>60.280842527582749</v>
      </c>
      <c r="CI73" s="16">
        <f t="shared" si="32"/>
        <v>81.689411666199746</v>
      </c>
      <c r="CJ73" s="35" t="b">
        <f t="shared" si="33"/>
        <v>1</v>
      </c>
      <c r="CK73" s="35" t="b">
        <f t="shared" si="34"/>
        <v>1</v>
      </c>
      <c r="CL73" s="32">
        <f t="shared" si="35"/>
        <v>38.028169014084497</v>
      </c>
      <c r="CM73" s="32">
        <f t="shared" si="36"/>
        <v>32.288438149790096</v>
      </c>
      <c r="CN73" s="35" t="b">
        <f t="shared" si="37"/>
        <v>1</v>
      </c>
      <c r="CO73" s="35" t="b">
        <f t="shared" si="38"/>
        <v>1</v>
      </c>
      <c r="CP73">
        <f t="shared" si="39"/>
        <v>1997</v>
      </c>
      <c r="CQ73" s="46">
        <v>35500</v>
      </c>
      <c r="CR73" s="88">
        <f t="shared" si="40"/>
        <v>108.43267361111066</v>
      </c>
      <c r="CS73" t="str">
        <f t="shared" si="41"/>
        <v>DFF</v>
      </c>
      <c r="CT73">
        <f t="shared" si="42"/>
        <v>6</v>
      </c>
      <c r="CU73" s="89"/>
      <c r="CV73" s="89"/>
      <c r="CW73">
        <v>0.9</v>
      </c>
      <c r="CX73" s="12">
        <v>3186</v>
      </c>
      <c r="CY73" s="21" t="s">
        <v>78</v>
      </c>
      <c r="CZ73">
        <v>11</v>
      </c>
      <c r="DA73" s="1">
        <f t="shared" si="43"/>
        <v>4785.5999999999995</v>
      </c>
      <c r="DB73" s="64">
        <v>119</v>
      </c>
      <c r="DC73" s="64" t="s">
        <v>87</v>
      </c>
      <c r="DD73" s="60">
        <f t="shared" si="44"/>
        <v>28.673999999999999</v>
      </c>
      <c r="DE73" s="60">
        <f t="shared" si="45"/>
        <v>62.838426833844345</v>
      </c>
      <c r="DF73" s="2">
        <f t="shared" si="46"/>
        <v>0.98433545358812247</v>
      </c>
      <c r="DG73" s="1">
        <f t="shared" si="47"/>
        <v>32.84462836920801</v>
      </c>
      <c r="DH73" s="2">
        <f t="shared" si="48"/>
        <v>0.97045321375400873</v>
      </c>
      <c r="DI73" s="7">
        <f t="shared" si="49"/>
        <v>79.971769179882102</v>
      </c>
      <c r="DJ73" s="31">
        <f t="shared" si="50"/>
        <v>1.7642865324924921</v>
      </c>
      <c r="DK73" s="31">
        <f t="shared" si="51"/>
        <v>1.7121575354402554</v>
      </c>
      <c r="DL73" s="31">
        <f t="shared" si="52"/>
        <v>5.2128997052236732E-2</v>
      </c>
      <c r="DM73" s="30">
        <f t="shared" si="53"/>
        <v>78.560705441285691</v>
      </c>
      <c r="DN73" s="30">
        <f t="shared" si="54"/>
        <v>93.665410710215724</v>
      </c>
      <c r="DO73" s="7">
        <v>24.79</v>
      </c>
      <c r="DP73" s="7">
        <f t="shared" si="55"/>
        <v>32.551654964894688</v>
      </c>
      <c r="DQ73" s="7">
        <f t="shared" si="56"/>
        <v>42.47849406642387</v>
      </c>
      <c r="DR73" s="7">
        <f t="shared" si="57"/>
        <v>-10.058379851436442</v>
      </c>
      <c r="DS73" s="6">
        <f t="shared" si="58"/>
        <v>-9.7900000000000009</v>
      </c>
      <c r="DT73" s="5">
        <f t="shared" si="105"/>
        <v>3383.2601721197152</v>
      </c>
      <c r="DU73" s="5">
        <f t="shared" si="106"/>
        <v>3383.2601721197152</v>
      </c>
      <c r="DV73" s="5">
        <f t="shared" si="107"/>
        <v>3143.3572216416865</v>
      </c>
      <c r="DW73" s="5">
        <f t="shared" si="108"/>
        <v>62.280805788625358</v>
      </c>
      <c r="DX73" s="5">
        <f t="shared" si="109"/>
        <v>62.280805788625358</v>
      </c>
      <c r="DY73" s="5">
        <f t="shared" si="110"/>
        <v>60.799529087829789</v>
      </c>
      <c r="DZ73" s="5">
        <f t="shared" si="111"/>
        <v>0</v>
      </c>
      <c r="EA73" s="5">
        <f t="shared" si="112"/>
        <v>0</v>
      </c>
      <c r="EB73" s="5">
        <f t="shared" si="113"/>
        <v>-1.4812767007955827</v>
      </c>
      <c r="EC73" s="16">
        <f t="shared" si="59"/>
        <v>62.280805788625372</v>
      </c>
      <c r="ED73" s="3">
        <f t="shared" si="114"/>
        <v>5.4863151854271148</v>
      </c>
      <c r="EE73" s="16">
        <f t="shared" si="60"/>
        <v>3.3226832145728835</v>
      </c>
      <c r="EF73" s="16">
        <f t="shared" si="61"/>
        <v>2.169644496771209</v>
      </c>
      <c r="EG73" s="16">
        <f t="shared" si="62"/>
        <v>2884.7999999999993</v>
      </c>
      <c r="EH73" s="16">
        <f t="shared" si="63"/>
        <v>1.6687713487267062E-3</v>
      </c>
      <c r="EI73" s="20">
        <f t="shared" si="64"/>
        <v>3.2245086038687556</v>
      </c>
      <c r="EJ73" s="26">
        <f t="shared" si="115"/>
        <v>9.8174610704128001E-2</v>
      </c>
      <c r="EK73" s="29">
        <f t="shared" si="65"/>
        <v>59.623347539877599</v>
      </c>
      <c r="EL73" s="28">
        <f t="shared" si="66"/>
        <v>88.070059416797747</v>
      </c>
      <c r="EM73" s="25">
        <f t="shared" si="67"/>
        <v>75.401209518952271</v>
      </c>
      <c r="EN73" s="25">
        <f t="shared" si="68"/>
        <v>1</v>
      </c>
      <c r="EO73" s="25">
        <f t="shared" si="69"/>
        <v>25.598790481047722</v>
      </c>
      <c r="EP73" s="25">
        <f t="shared" si="70"/>
        <v>5.059524728771243</v>
      </c>
      <c r="EQ73" s="26">
        <f t="shared" si="71"/>
        <v>2.1669070598948461</v>
      </c>
      <c r="ER73" s="26">
        <f t="shared" si="72"/>
        <v>2.1028819201812037</v>
      </c>
      <c r="ES73" s="26">
        <f t="shared" si="73"/>
        <v>6.4025139713642334E-2</v>
      </c>
      <c r="ET73" s="25">
        <f t="shared" si="74"/>
        <v>73.668132764800262</v>
      </c>
      <c r="EU73" s="25">
        <f t="shared" si="75"/>
        <v>92.219820306525961</v>
      </c>
      <c r="EZ73" s="22">
        <f t="shared" si="76"/>
        <v>35608.432673611111</v>
      </c>
      <c r="FA73" s="19">
        <f t="shared" si="77"/>
        <v>309.84043681843912</v>
      </c>
      <c r="FB73" s="19">
        <f t="shared" si="78"/>
        <v>362.38857998644949</v>
      </c>
      <c r="FC73" s="19" t="b">
        <v>1</v>
      </c>
      <c r="FD73" s="19" t="b">
        <v>1</v>
      </c>
      <c r="FE73" s="20">
        <f t="shared" si="79"/>
        <v>9.7044812050479514</v>
      </c>
      <c r="FF73" s="20">
        <f t="shared" si="80"/>
        <v>119</v>
      </c>
      <c r="FG73" s="20">
        <f t="shared" si="81"/>
        <v>32.844628369208017</v>
      </c>
      <c r="FH73" s="20">
        <f t="shared" si="82"/>
        <v>118.99999999999999</v>
      </c>
      <c r="FI73" s="19" t="s">
        <v>77</v>
      </c>
      <c r="FJ73" s="21" t="s">
        <v>76</v>
      </c>
      <c r="FK73" s="16">
        <f t="shared" si="83"/>
        <v>32.288438149790096</v>
      </c>
      <c r="FL73" s="17">
        <f t="shared" si="84"/>
        <v>32.288438149790096</v>
      </c>
      <c r="FM73" s="1">
        <f t="shared" si="85"/>
        <v>79.971769179882102</v>
      </c>
      <c r="FN73" s="1">
        <f t="shared" si="86"/>
        <v>62.280805788625372</v>
      </c>
      <c r="FO73" s="1">
        <f t="shared" si="116"/>
        <v>62.280805788625358</v>
      </c>
      <c r="FP73" s="1">
        <f t="shared" si="117"/>
        <v>60.799529087829789</v>
      </c>
      <c r="FQ73" s="1">
        <f t="shared" si="87"/>
        <v>75.401209518952271</v>
      </c>
      <c r="FR73" s="16">
        <f t="shared" si="88"/>
        <v>27.517905471757111</v>
      </c>
      <c r="FS73" s="17">
        <f t="shared" si="89"/>
        <v>27.517905471757111</v>
      </c>
      <c r="FT73" s="1">
        <f t="shared" si="90"/>
        <v>78.560705441285691</v>
      </c>
      <c r="FU73" s="1">
        <f t="shared" si="91"/>
        <v>59.623347539877599</v>
      </c>
      <c r="FV73" s="1">
        <f t="shared" si="92"/>
        <v>73.668132764800262</v>
      </c>
      <c r="FW73" s="16">
        <f t="shared" si="93"/>
        <v>78.583982861828233</v>
      </c>
      <c r="FX73" s="15">
        <f t="shared" si="94"/>
        <v>78.583982861828233</v>
      </c>
      <c r="FY73" s="15">
        <f t="shared" si="95"/>
        <v>93.665410710215724</v>
      </c>
      <c r="FZ73" s="15">
        <f t="shared" si="96"/>
        <v>88.070059416797747</v>
      </c>
      <c r="GA73" s="15">
        <f t="shared" si="97"/>
        <v>92.219820306525961</v>
      </c>
      <c r="GC73">
        <f t="shared" si="98"/>
        <v>60.280842527582749</v>
      </c>
      <c r="GD73">
        <f t="shared" si="99"/>
        <v>81.689411666199746</v>
      </c>
      <c r="GE73" s="14">
        <f t="shared" si="100"/>
        <v>32.288438149790096</v>
      </c>
      <c r="GF73" t="e">
        <f>IF(#REF!=FALSE,FALSE,CH73)</f>
        <v>#REF!</v>
      </c>
      <c r="GG73" t="e">
        <f>IF(#REF!=FALSE,FALSE,AN73)</f>
        <v>#REF!</v>
      </c>
      <c r="GH73" s="13" t="e">
        <f>#REF!</f>
        <v>#REF!</v>
      </c>
      <c r="GI73">
        <f t="shared" si="101"/>
        <v>81.689411666199746</v>
      </c>
      <c r="GJ73">
        <f t="shared" si="102"/>
        <v>2.6559678329387859</v>
      </c>
      <c r="GK73" s="13">
        <f t="shared" si="103"/>
        <v>78.583982861828233</v>
      </c>
      <c r="GL73" t="str">
        <f t="shared" si="104"/>
        <v>DFF</v>
      </c>
    </row>
    <row r="74" spans="1:253">
      <c r="A74" s="21" t="s">
        <v>68</v>
      </c>
      <c r="B74" s="21" t="s">
        <v>67</v>
      </c>
      <c r="C74" s="21" t="s">
        <v>58</v>
      </c>
      <c r="D74" s="95" t="s">
        <v>73</v>
      </c>
      <c r="F74" s="21" t="s">
        <v>65</v>
      </c>
      <c r="G74" s="37">
        <f t="shared" ref="G74:G79" si="118">J74*V74</f>
        <v>452.25000000000006</v>
      </c>
      <c r="H74" s="21">
        <v>20.100000000000001</v>
      </c>
      <c r="I74" s="21">
        <v>1.5</v>
      </c>
      <c r="J74" s="21">
        <f t="shared" ref="J74:J79" si="119">H74*I74</f>
        <v>30.150000000000002</v>
      </c>
      <c r="K74" s="21" t="s">
        <v>72</v>
      </c>
      <c r="L74" s="21" t="s">
        <v>71</v>
      </c>
      <c r="M74" s="21">
        <v>20</v>
      </c>
      <c r="N74" s="21"/>
      <c r="O74" s="21"/>
      <c r="P74" s="21"/>
      <c r="Q74" s="21"/>
      <c r="R74" s="21"/>
      <c r="S74" s="21"/>
      <c r="T74" s="21"/>
      <c r="U74" t="s">
        <v>6</v>
      </c>
      <c r="V74" s="21">
        <v>15</v>
      </c>
      <c r="W74" s="21" t="s">
        <v>65</v>
      </c>
      <c r="X74">
        <v>3.5</v>
      </c>
      <c r="Y74" s="21" t="s">
        <v>61</v>
      </c>
      <c r="Z74" s="21" t="s">
        <v>59</v>
      </c>
      <c r="AB74" s="52">
        <v>36320</v>
      </c>
      <c r="AC74" s="52">
        <v>36320</v>
      </c>
      <c r="AD74" s="21">
        <v>29.4</v>
      </c>
      <c r="AE74" s="21"/>
      <c r="AF74" s="21"/>
      <c r="AG74" s="21"/>
      <c r="AI74" t="b">
        <v>0</v>
      </c>
      <c r="AJ74" s="50">
        <f t="shared" ref="AJ74:AJ79" si="120">AL74/G74</f>
        <v>6.0666666666666664</v>
      </c>
      <c r="AK74" s="9">
        <v>91</v>
      </c>
      <c r="AL74" s="7">
        <f t="shared" ref="AL74:AL79" si="121">AK74*$J74</f>
        <v>2743.65</v>
      </c>
      <c r="AM74" s="9">
        <v>122.7</v>
      </c>
      <c r="AN74" s="21">
        <f t="shared" ref="AN74:AN79" si="122">AM74*$J74</f>
        <v>3699.4050000000002</v>
      </c>
      <c r="AO74" s="21"/>
      <c r="AP74" s="21"/>
      <c r="AQ74" s="21"/>
      <c r="AR74" s="21"/>
      <c r="AS74" s="45">
        <f t="shared" ref="AS74:AS79" si="123">AV74/(G74/10000)</f>
        <v>143.60181315644002</v>
      </c>
      <c r="AT74" s="21"/>
      <c r="AV74" s="21">
        <v>6.4943920000000004</v>
      </c>
      <c r="AX74" s="8">
        <f t="shared" ref="AX74:AX79" si="124">BF74/AL74*1000</f>
        <v>69.636433218522768</v>
      </c>
      <c r="AY74" s="21">
        <f t="shared" ref="AY74:AY79" si="125">AX74*AL74/AN74</f>
        <v>51.645602468505068</v>
      </c>
      <c r="BA74">
        <f t="shared" ref="BA74:BA79" si="126">BG74*1000/AV74</f>
        <v>2793.7950157612904</v>
      </c>
      <c r="BB74" s="8">
        <f t="shared" ref="BB74:BB79" si="127">BA74</f>
        <v>2793.7950157612904</v>
      </c>
      <c r="BC74">
        <f t="shared" ref="BC74:BC79" si="128">SUM(BF74:BG74)</f>
        <v>209.202</v>
      </c>
      <c r="BF74">
        <v>191.05799999999999</v>
      </c>
      <c r="BG74">
        <v>18.143999999999998</v>
      </c>
      <c r="BI74" s="21">
        <v>30.6</v>
      </c>
      <c r="BJ74" s="21">
        <f t="shared" ref="BJ74:BJ79" si="129">BI74*$J74</f>
        <v>922.59000000000015</v>
      </c>
      <c r="BQ74" s="21"/>
      <c r="BR74" s="21">
        <v>0.56724699999999995</v>
      </c>
      <c r="BT74" s="8">
        <f t="shared" ref="BT74:BT79" si="130">BZ74/BJ74*1000</f>
        <v>41.881008898860813</v>
      </c>
      <c r="BV74" s="8">
        <f t="shared" ref="BV74:BV79" si="131">CA74*1000/BR74</f>
        <v>6164.8629256743543</v>
      </c>
      <c r="BW74">
        <f t="shared" ref="BW74:BW79" si="132">SUM(BZ74:CA74)</f>
        <v>42.136000000000003</v>
      </c>
      <c r="BZ74">
        <v>38.639000000000003</v>
      </c>
      <c r="CA74">
        <v>3.4969999999999999</v>
      </c>
      <c r="CB74" s="38">
        <f t="shared" ref="CB74:CB79" si="133">IFERROR((BF74-BZ74)/BF74*100,-99999)</f>
        <v>79.776298296852261</v>
      </c>
      <c r="CC74" s="35" t="b">
        <f t="shared" ref="CC74:CC79" si="134">AND(CB74&gt;=0,TRUE)</f>
        <v>1</v>
      </c>
      <c r="CD74" s="35" t="b">
        <f t="shared" ref="CD74:CD79" si="135">IFERROR(CC74,FALSE)</f>
        <v>1</v>
      </c>
      <c r="CE74" s="38">
        <f t="shared" ref="CE74:CE79" si="136">(BG74-CA74)/BG74*100</f>
        <v>80.726410934744266</v>
      </c>
      <c r="CF74" s="35" t="b">
        <f t="shared" ref="CF74:CF79" si="137">AND(CE74&gt;=0,TRUE)</f>
        <v>1</v>
      </c>
      <c r="CG74" s="35" t="b">
        <f t="shared" ref="CG74:CG79" si="138">IFERROR(CF74,FALSE)</f>
        <v>1</v>
      </c>
      <c r="CH74" s="53">
        <v>75</v>
      </c>
      <c r="CI74" s="16">
        <f t="shared" ref="CI74:CI79" si="139">IFERROR((AV74-BR74)/AV74*100,-99999)</f>
        <v>91.265587294391835</v>
      </c>
      <c r="CJ74" s="35" t="b">
        <f t="shared" ref="CJ74:CJ79" si="140">AND(CI74&gt;=0,TRUE)</f>
        <v>1</v>
      </c>
      <c r="CK74" s="35" t="b">
        <f t="shared" ref="CK74:CK79" si="141">IFERROR(CJ74,FALSE)</f>
        <v>1</v>
      </c>
      <c r="CL74" s="32">
        <f t="shared" ref="CL74:CL79" si="142">(AL74-BJ74)/AL74*100</f>
        <v>66.373626373626365</v>
      </c>
      <c r="CM74" s="17">
        <f t="shared" ref="CM74:CM79" si="143">(BC74-BW74)/BC74*100</f>
        <v>79.858701159644752</v>
      </c>
      <c r="CN74" s="35" t="b">
        <f t="shared" ref="CN74:CN79" si="144">AND(CM74&gt;=0,TRUE)</f>
        <v>1</v>
      </c>
      <c r="CO74" s="35" t="b">
        <f t="shared" ref="CO74:CO79" si="145">IFERROR(CN74,FALSE)</f>
        <v>1</v>
      </c>
      <c r="CQ74" s="52">
        <v>36299</v>
      </c>
      <c r="CR74" s="88">
        <f t="shared" ref="CR74:CR76" si="146">AC74-CQ74</f>
        <v>21</v>
      </c>
      <c r="CS74" t="str">
        <f t="shared" ref="CS74:CS76" si="147">K74</f>
        <v>atrazine</v>
      </c>
      <c r="CT74">
        <f t="shared" ref="CT74:CT76" si="148">H74</f>
        <v>20.100000000000001</v>
      </c>
      <c r="CW74" s="93">
        <v>3</v>
      </c>
      <c r="CX74" s="96">
        <v>174</v>
      </c>
      <c r="CY74" s="1" t="s">
        <v>64</v>
      </c>
      <c r="CZ74" s="92">
        <v>21</v>
      </c>
      <c r="DA74" s="1">
        <f t="shared" ref="DA74:DA79" si="149">AN74</f>
        <v>3699.4050000000002</v>
      </c>
      <c r="DB74" s="8">
        <f t="shared" ref="DB74:DB79" si="150">BA74/AX74</f>
        <v>40.119731678304312</v>
      </c>
      <c r="DC74" s="8" t="s">
        <v>74</v>
      </c>
      <c r="DD74" s="9">
        <f t="shared" ref="DD74:DD79" si="151">CX74*CW74/100</f>
        <v>5.22</v>
      </c>
      <c r="DE74" s="9">
        <f t="shared" ref="DE74:DE79" si="152">DA74/(DD74*AV74)</f>
        <v>109.12465337202759</v>
      </c>
      <c r="DF74" s="1">
        <f t="shared" ref="DF74:DF79" si="153">DE74/(1+DE74)</f>
        <v>0.99091938117960054</v>
      </c>
      <c r="DG74" s="1">
        <f t="shared" ref="DG74:DG79" si="154">BJ74/(DB74*BR74)</f>
        <v>40.53951190232582</v>
      </c>
      <c r="DH74" s="2">
        <f t="shared" ref="DH74:DH79" si="155">DG74/(1+DG74)</f>
        <v>0.97592653466050938</v>
      </c>
      <c r="DI74" s="7">
        <f t="shared" ref="DI74:DI79" si="156">SUM(DO74:DS74)</f>
        <v>82.68020208635491</v>
      </c>
      <c r="DJ74" s="31">
        <f t="shared" ref="DJ74:DJ79" si="157">BC74*(1-DI74/100)</f>
        <v>36.233363631303789</v>
      </c>
      <c r="DK74" s="31">
        <f t="shared" ref="DK74:DK79" si="158">DJ74-DL74</f>
        <v>35.361101007792435</v>
      </c>
      <c r="DL74" s="31">
        <f t="shared" ref="DL74:DL79" si="159">DJ74*BR74 *DB74 / (BJ74+BR74*DB74)</f>
        <v>0.87226262351135309</v>
      </c>
      <c r="DM74" s="30">
        <f t="shared" ref="DM74:DM79" si="160">(BF74-DK74)/BF74*100</f>
        <v>81.491954794987691</v>
      </c>
      <c r="DN74" s="30">
        <f t="shared" ref="DN74:DN79" si="161">(BG74-DL74)/BG74*100</f>
        <v>95.192556087349246</v>
      </c>
      <c r="DO74" s="7">
        <v>24.79</v>
      </c>
      <c r="DP74" s="7">
        <f t="shared" ref="DP74:DP79" si="162">0.54*CH74</f>
        <v>40.5</v>
      </c>
      <c r="DQ74" s="7">
        <f t="shared" ref="DQ74:DQ79" si="163">0.52*CI74</f>
        <v>47.458105393083756</v>
      </c>
      <c r="DR74" s="7">
        <f t="shared" si="57"/>
        <v>-11.377903306728832</v>
      </c>
      <c r="DS74" s="6">
        <f t="shared" ref="DS74:DS79" si="164">-0.89*CZ74</f>
        <v>-18.690000000000001</v>
      </c>
      <c r="DT74" s="5">
        <f t="shared" si="105"/>
        <v>3004.2032644537262</v>
      </c>
      <c r="DU74" s="5">
        <f t="shared" si="106"/>
        <v>3004.2032644537262</v>
      </c>
      <c r="DV74" s="5">
        <f t="shared" si="107"/>
        <v>2777.5507262400001</v>
      </c>
      <c r="DW74" s="5">
        <f t="shared" si="108"/>
        <v>76.410707430471248</v>
      </c>
      <c r="DX74" s="5">
        <f t="shared" si="109"/>
        <v>76.410707430471248</v>
      </c>
      <c r="DY74" s="5">
        <f t="shared" si="110"/>
        <v>75.198525707124148</v>
      </c>
      <c r="DZ74" s="5">
        <f t="shared" si="111"/>
        <v>-5.5823375771694828E-2</v>
      </c>
      <c r="EA74" s="5">
        <f t="shared" si="112"/>
        <v>-5.5823375771694828E-2</v>
      </c>
      <c r="EB74" s="5">
        <f t="shared" si="113"/>
        <v>-1.2680050991187954</v>
      </c>
      <c r="EC74" s="16">
        <f t="shared" si="59"/>
        <v>76.466530806242943</v>
      </c>
      <c r="ED74" s="3">
        <f t="shared" si="114"/>
        <v>159.96951177727635</v>
      </c>
      <c r="EE74" s="16">
        <f t="shared" si="60"/>
        <v>49.232488222723646</v>
      </c>
      <c r="EF74" s="16">
        <f t="shared" ref="EF74:EF79" si="165">AV74-BR74</f>
        <v>5.9271450000000003</v>
      </c>
      <c r="EG74" s="16">
        <f t="shared" ref="EG74:EG79" si="166">AN74-BJ74</f>
        <v>2776.8150000000001</v>
      </c>
      <c r="EH74" s="16">
        <f t="shared" ref="EH74:EH79" si="167">AY74/1000</f>
        <v>5.1645602468505067E-2</v>
      </c>
      <c r="EI74" s="20">
        <f t="shared" ref="EI74:EI79" si="168">EE74-EJ74</f>
        <v>48.047291623917026</v>
      </c>
      <c r="EJ74" s="26">
        <f t="shared" si="115"/>
        <v>1.1851965988066195</v>
      </c>
      <c r="EK74" s="29">
        <f t="shared" ref="EK74:EK79" si="169">($BF74-EI74)/$BF74*100</f>
        <v>74.851986504665064</v>
      </c>
      <c r="EL74" s="28">
        <f t="shared" ref="EL74:EL79" si="170">($BG74-EJ74)/$BG74*100</f>
        <v>93.467831796700722</v>
      </c>
      <c r="EM74" s="25">
        <f t="shared" ref="EM74:EM79" si="171">101 - EO74</f>
        <v>75.849120912786617</v>
      </c>
      <c r="EN74" s="25">
        <f t="shared" ref="EN74:EN79" si="172">IF(CX74&lt;=0, FALSE, IF(CX74&lt;=9000,1,IF(CX74&gt;9000,2,FALSE)))</f>
        <v>1</v>
      </c>
      <c r="EO74" s="25">
        <f t="shared" ref="EO74:EO79" si="173">POWER(EP74,2)</f>
        <v>25.150879087213379</v>
      </c>
      <c r="EP74" s="25">
        <f t="shared" si="70"/>
        <v>5.0150652126580946</v>
      </c>
      <c r="EQ74" s="26">
        <f t="shared" si="71"/>
        <v>50.524122068032142</v>
      </c>
      <c r="ER74" s="26">
        <f t="shared" ref="ER74:ER79" si="174">EQ74-ES74</f>
        <v>49.307831366619176</v>
      </c>
      <c r="ES74" s="26">
        <f t="shared" si="73"/>
        <v>1.2162907014129667</v>
      </c>
      <c r="ET74" s="25">
        <f t="shared" ref="ET74:ET79" si="175">($BF74-ER74)/$BF74*100</f>
        <v>74.192218401417804</v>
      </c>
      <c r="EU74" s="25">
        <f t="shared" ref="EU74:EU79" si="176">($BG74-ES74)/$BG74*100</f>
        <v>93.296457774399428</v>
      </c>
      <c r="EZ74" s="22">
        <f t="shared" ref="EZ74:EZ79" si="177">AC74</f>
        <v>36320</v>
      </c>
      <c r="FA74" s="16">
        <f t="shared" ref="FA74:FA79" si="178">IFERROR(BA74,FALSE)</f>
        <v>2793.7950157612904</v>
      </c>
      <c r="FB74" s="16">
        <f t="shared" ref="FB74:FB79" si="179">IFERROR(BV74,FALSE)</f>
        <v>6164.8629256743543</v>
      </c>
      <c r="FC74" s="16" t="b">
        <v>1</v>
      </c>
      <c r="FD74" s="16" t="b">
        <v>1</v>
      </c>
      <c r="FE74" s="20">
        <f t="shared" si="79"/>
        <v>10.530092592592593</v>
      </c>
      <c r="FF74" s="20">
        <f t="shared" si="80"/>
        <v>40.119731678304312</v>
      </c>
      <c r="FG74" s="20">
        <f t="shared" si="81"/>
        <v>11.049185015727767</v>
      </c>
      <c r="FH74" s="20">
        <f t="shared" si="82"/>
        <v>147.19948462946513</v>
      </c>
      <c r="FI74" s="97"/>
      <c r="FJ74" s="1" t="s">
        <v>0</v>
      </c>
      <c r="FK74" s="16">
        <f t="shared" ref="FK74:FK79" si="180">IF(AND(CH74&lt;100,CH74&gt;=0,CO74=TRUE,CK74=TRUE),IFERROR(CM74,FALSE),FALSE)</f>
        <v>79.858701159644752</v>
      </c>
      <c r="FL74" s="17">
        <f t="shared" si="84"/>
        <v>79.858701159644752</v>
      </c>
      <c r="FM74" s="1">
        <f t="shared" si="85"/>
        <v>82.68020208635491</v>
      </c>
      <c r="FN74" s="1">
        <f t="shared" si="86"/>
        <v>76.466530806242943</v>
      </c>
      <c r="FO74" s="1">
        <f t="shared" si="116"/>
        <v>76.410707430471248</v>
      </c>
      <c r="FP74" s="1">
        <f t="shared" si="117"/>
        <v>75.198525707124148</v>
      </c>
      <c r="FQ74" s="1">
        <f t="shared" si="87"/>
        <v>75.849120912786617</v>
      </c>
      <c r="FR74" s="16">
        <f t="shared" ref="FR74:FR79" si="181">IF(AND(CH74&lt;100,CH74&gt;=0, CD74=TRUE,CK74=TRUE),IFERROR(CB74,FALSE),FALSE)</f>
        <v>79.776298296852261</v>
      </c>
      <c r="FS74" s="17">
        <f t="shared" si="89"/>
        <v>79.776298296852261</v>
      </c>
      <c r="FT74" s="1">
        <f t="shared" si="90"/>
        <v>81.491954794987691</v>
      </c>
      <c r="FU74" s="1">
        <f t="shared" si="91"/>
        <v>74.851986504665064</v>
      </c>
      <c r="FV74" s="1">
        <f t="shared" si="92"/>
        <v>74.192218401417804</v>
      </c>
      <c r="FW74" s="16">
        <f t="shared" ref="FW74:FW79" si="182">IF(AND(CH74&lt;100,CH74&gt;=0,CG74=TRUE,CK74=TRUE),IFERROR(CE74, FALSE),FALSE)</f>
        <v>80.726410934744266</v>
      </c>
      <c r="FX74" s="15">
        <f t="shared" si="94"/>
        <v>80.726410934744266</v>
      </c>
      <c r="FY74" s="15">
        <f t="shared" si="95"/>
        <v>95.192556087349246</v>
      </c>
      <c r="FZ74" s="15">
        <f t="shared" si="96"/>
        <v>93.467831796700722</v>
      </c>
      <c r="GA74" s="15">
        <f t="shared" si="97"/>
        <v>93.296457774399428</v>
      </c>
      <c r="GC74">
        <f t="shared" si="98"/>
        <v>75</v>
      </c>
      <c r="GD74">
        <f t="shared" si="99"/>
        <v>91.265587294391835</v>
      </c>
      <c r="GE74" s="14">
        <f t="shared" ref="GE74:GE79" si="183">FL74</f>
        <v>79.858701159644752</v>
      </c>
      <c r="GF74" t="e">
        <f>IF(#REF!=FALSE,FALSE,CH74)</f>
        <v>#REF!</v>
      </c>
      <c r="GG74" t="e">
        <f>IF(#REF!=FALSE,FALSE,AN74)</f>
        <v>#REF!</v>
      </c>
      <c r="GH74" s="13" t="e">
        <f>#REF!</f>
        <v>#REF!</v>
      </c>
      <c r="GI74">
        <f t="shared" si="101"/>
        <v>91.265587294391835</v>
      </c>
      <c r="GJ74">
        <f t="shared" si="102"/>
        <v>6.4943920000000004</v>
      </c>
      <c r="GK74" s="13">
        <f t="shared" ref="GK74:GK79" si="184">FX74</f>
        <v>80.726410934744266</v>
      </c>
      <c r="GL74" t="str">
        <f t="shared" ref="GL74:GL79" si="185">L74</f>
        <v>ATR</v>
      </c>
    </row>
    <row r="75" spans="1:253">
      <c r="A75" s="21" t="s">
        <v>68</v>
      </c>
      <c r="B75" s="21" t="s">
        <v>67</v>
      </c>
      <c r="C75" s="21" t="s">
        <v>58</v>
      </c>
      <c r="D75" s="95" t="s">
        <v>73</v>
      </c>
      <c r="F75" s="21" t="s">
        <v>65</v>
      </c>
      <c r="G75" s="37">
        <f t="shared" si="118"/>
        <v>452.25000000000006</v>
      </c>
      <c r="H75" s="21">
        <v>20.100000000000001</v>
      </c>
      <c r="I75" s="21">
        <v>1.5</v>
      </c>
      <c r="J75" s="21">
        <f t="shared" si="119"/>
        <v>30.150000000000002</v>
      </c>
      <c r="K75" s="21" t="s">
        <v>70</v>
      </c>
      <c r="L75" s="21" t="s">
        <v>69</v>
      </c>
      <c r="M75" s="21">
        <v>3</v>
      </c>
      <c r="N75" s="21"/>
      <c r="O75" s="21"/>
      <c r="P75" s="21"/>
      <c r="Q75" s="21"/>
      <c r="R75" s="21"/>
      <c r="S75" s="21"/>
      <c r="T75" s="21"/>
      <c r="U75" t="s">
        <v>6</v>
      </c>
      <c r="V75" s="21">
        <v>15</v>
      </c>
      <c r="W75" s="21" t="s">
        <v>65</v>
      </c>
      <c r="X75">
        <v>3.5</v>
      </c>
      <c r="Y75" s="21" t="s">
        <v>61</v>
      </c>
      <c r="Z75" s="21" t="s">
        <v>59</v>
      </c>
      <c r="AB75" s="52">
        <v>36320</v>
      </c>
      <c r="AC75" s="52">
        <v>36320</v>
      </c>
      <c r="AD75" s="21">
        <v>29.4</v>
      </c>
      <c r="AE75" s="21"/>
      <c r="AF75" s="21"/>
      <c r="AG75" s="21"/>
      <c r="AI75" t="b">
        <v>0</v>
      </c>
      <c r="AJ75" s="50">
        <f t="shared" si="120"/>
        <v>6.0666666666666664</v>
      </c>
      <c r="AK75" s="9">
        <v>91</v>
      </c>
      <c r="AL75" s="7">
        <f t="shared" si="121"/>
        <v>2743.65</v>
      </c>
      <c r="AM75" s="9">
        <v>122.7</v>
      </c>
      <c r="AN75" s="21">
        <f t="shared" si="122"/>
        <v>3699.4050000000002</v>
      </c>
      <c r="AO75" s="21"/>
      <c r="AP75" s="21"/>
      <c r="AQ75" s="21"/>
      <c r="AR75" s="21"/>
      <c r="AS75" s="45">
        <f t="shared" si="123"/>
        <v>143.60181315644002</v>
      </c>
      <c r="AT75" s="21"/>
      <c r="AV75" s="21">
        <v>6.4943920000000004</v>
      </c>
      <c r="AX75" s="8">
        <f t="shared" si="124"/>
        <v>78.25852422867348</v>
      </c>
      <c r="AY75" s="21">
        <f t="shared" si="125"/>
        <v>58.040144293474221</v>
      </c>
      <c r="BA75">
        <f t="shared" si="126"/>
        <v>2213.2941774996025</v>
      </c>
      <c r="BB75" s="8">
        <f t="shared" si="127"/>
        <v>2213.2941774996025</v>
      </c>
      <c r="BC75">
        <f t="shared" si="128"/>
        <v>229.08799999999999</v>
      </c>
      <c r="BF75">
        <v>214.714</v>
      </c>
      <c r="BG75">
        <v>14.374000000000001</v>
      </c>
      <c r="BI75" s="21">
        <v>30.6</v>
      </c>
      <c r="BJ75" s="21">
        <f t="shared" si="129"/>
        <v>922.59000000000015</v>
      </c>
      <c r="BQ75" s="21"/>
      <c r="BR75" s="21">
        <v>0.56724699999999995</v>
      </c>
      <c r="BT75" s="8">
        <f t="shared" si="130"/>
        <v>37.951852935756946</v>
      </c>
      <c r="BV75" s="8">
        <f t="shared" si="131"/>
        <v>1531.9605039779851</v>
      </c>
      <c r="BW75">
        <f t="shared" si="132"/>
        <v>35.883000000000003</v>
      </c>
      <c r="BZ75">
        <v>35.014000000000003</v>
      </c>
      <c r="CA75">
        <v>0.86899999999999999</v>
      </c>
      <c r="CB75" s="38">
        <f t="shared" si="133"/>
        <v>83.692726138025463</v>
      </c>
      <c r="CC75" s="35" t="b">
        <f t="shared" si="134"/>
        <v>1</v>
      </c>
      <c r="CD75" s="35" t="b">
        <f t="shared" si="135"/>
        <v>1</v>
      </c>
      <c r="CE75" s="38">
        <f t="shared" si="136"/>
        <v>93.954362042576875</v>
      </c>
      <c r="CF75" s="35" t="b">
        <f t="shared" si="137"/>
        <v>1</v>
      </c>
      <c r="CG75" s="35" t="b">
        <f t="shared" si="138"/>
        <v>1</v>
      </c>
      <c r="CH75" s="53">
        <v>75</v>
      </c>
      <c r="CI75" s="16">
        <f t="shared" si="139"/>
        <v>91.265587294391835</v>
      </c>
      <c r="CJ75" s="35" t="b">
        <f t="shared" si="140"/>
        <v>1</v>
      </c>
      <c r="CK75" s="35" t="b">
        <f t="shared" si="141"/>
        <v>1</v>
      </c>
      <c r="CL75" s="32">
        <f t="shared" si="142"/>
        <v>66.373626373626365</v>
      </c>
      <c r="CM75" s="17">
        <f t="shared" si="143"/>
        <v>84.336586813800807</v>
      </c>
      <c r="CN75" s="35" t="b">
        <f t="shared" si="144"/>
        <v>1</v>
      </c>
      <c r="CO75" s="35" t="b">
        <f t="shared" si="145"/>
        <v>1</v>
      </c>
      <c r="CQ75" s="52">
        <v>36299</v>
      </c>
      <c r="CR75" s="88">
        <f t="shared" si="146"/>
        <v>21</v>
      </c>
      <c r="CS75" t="str">
        <f t="shared" si="147"/>
        <v>acetochlor</v>
      </c>
      <c r="CT75">
        <f t="shared" si="148"/>
        <v>20.100000000000001</v>
      </c>
      <c r="CW75" s="93">
        <v>3</v>
      </c>
      <c r="CX75">
        <v>285</v>
      </c>
      <c r="CY75" t="s">
        <v>2</v>
      </c>
      <c r="CZ75" s="92">
        <v>21</v>
      </c>
      <c r="DA75" s="1">
        <f t="shared" si="149"/>
        <v>3699.4050000000002</v>
      </c>
      <c r="DB75" s="8">
        <f t="shared" si="150"/>
        <v>28.281828712132345</v>
      </c>
      <c r="DC75" s="8" t="s">
        <v>74</v>
      </c>
      <c r="DD75" s="9">
        <f t="shared" si="151"/>
        <v>8.5500000000000007</v>
      </c>
      <c r="DE75" s="9">
        <f t="shared" si="152"/>
        <v>66.623472585027358</v>
      </c>
      <c r="DF75" s="1">
        <f t="shared" si="153"/>
        <v>0.98521223531159785</v>
      </c>
      <c r="DG75" s="1">
        <f t="shared" si="154"/>
        <v>57.508103752605919</v>
      </c>
      <c r="DH75" s="2">
        <f t="shared" si="155"/>
        <v>0.98290835053844217</v>
      </c>
      <c r="DI75" s="7">
        <f t="shared" si="156"/>
        <v>83.86033392919191</v>
      </c>
      <c r="DJ75" s="31">
        <f t="shared" si="157"/>
        <v>36.974038208292832</v>
      </c>
      <c r="DK75" s="31">
        <f t="shared" si="158"/>
        <v>36.342090908058445</v>
      </c>
      <c r="DL75" s="31">
        <f t="shared" si="159"/>
        <v>0.63194730023438905</v>
      </c>
      <c r="DM75" s="30">
        <f t="shared" si="160"/>
        <v>83.074186635217799</v>
      </c>
      <c r="DN75" s="30">
        <f t="shared" si="161"/>
        <v>95.603539027171365</v>
      </c>
      <c r="DO75" s="7">
        <v>24.79</v>
      </c>
      <c r="DP75" s="7">
        <f t="shared" si="162"/>
        <v>40.5</v>
      </c>
      <c r="DQ75" s="7">
        <f t="shared" si="163"/>
        <v>47.458105393083756</v>
      </c>
      <c r="DR75" s="7">
        <f t="shared" si="57"/>
        <v>-10.197771463891847</v>
      </c>
      <c r="DS75" s="6">
        <f t="shared" si="164"/>
        <v>-18.690000000000001</v>
      </c>
      <c r="DT75" s="5">
        <f t="shared" si="105"/>
        <v>2927.3232821334427</v>
      </c>
      <c r="DU75" s="5">
        <f t="shared" si="106"/>
        <v>2927.3232821334427</v>
      </c>
      <c r="DV75" s="5">
        <f t="shared" si="107"/>
        <v>2799.1770516000001</v>
      </c>
      <c r="DW75" s="5">
        <f t="shared" si="108"/>
        <v>76.020575288839169</v>
      </c>
      <c r="DX75" s="5">
        <f t="shared" si="109"/>
        <v>76.020575288839169</v>
      </c>
      <c r="DY75" s="5">
        <f t="shared" si="110"/>
        <v>75.322659156012932</v>
      </c>
      <c r="DZ75" s="5">
        <f t="shared" si="111"/>
        <v>-5.7289459196297798E-2</v>
      </c>
      <c r="EA75" s="5">
        <f t="shared" si="112"/>
        <v>-5.7289459196297798E-2</v>
      </c>
      <c r="EB75" s="5">
        <f t="shared" si="113"/>
        <v>-0.75520559202253423</v>
      </c>
      <c r="EC75" s="16">
        <f t="shared" si="59"/>
        <v>76.077864748035466</v>
      </c>
      <c r="ED75" s="3">
        <f t="shared" si="114"/>
        <v>174.28525879397949</v>
      </c>
      <c r="EE75" s="16">
        <f t="shared" si="60"/>
        <v>54.802741206020499</v>
      </c>
      <c r="EF75" s="16">
        <f t="shared" si="165"/>
        <v>5.9271450000000003</v>
      </c>
      <c r="EG75" s="16">
        <f t="shared" si="166"/>
        <v>2776.8150000000001</v>
      </c>
      <c r="EH75" s="16">
        <f t="shared" si="167"/>
        <v>5.8040144293474219E-2</v>
      </c>
      <c r="EI75" s="20">
        <f t="shared" si="168"/>
        <v>53.866071963794724</v>
      </c>
      <c r="EJ75" s="26">
        <f t="shared" si="115"/>
        <v>0.93666924222577663</v>
      </c>
      <c r="EK75" s="29">
        <f t="shared" si="169"/>
        <v>74.912641018380384</v>
      </c>
      <c r="EL75" s="28">
        <f t="shared" si="170"/>
        <v>93.483586738376388</v>
      </c>
      <c r="EM75" s="25">
        <f t="shared" si="171"/>
        <v>75.849120912786617</v>
      </c>
      <c r="EN75" s="25">
        <f t="shared" si="172"/>
        <v>1</v>
      </c>
      <c r="EO75" s="25">
        <f t="shared" si="173"/>
        <v>25.150879087213379</v>
      </c>
      <c r="EP75" s="25">
        <f t="shared" si="70"/>
        <v>5.0150652126580946</v>
      </c>
      <c r="EQ75" s="26">
        <f t="shared" si="71"/>
        <v>55.326765883315396</v>
      </c>
      <c r="ER75" s="26">
        <f t="shared" si="174"/>
        <v>54.381140194996092</v>
      </c>
      <c r="ES75" s="26">
        <f t="shared" si="73"/>
        <v>0.94562568831930693</v>
      </c>
      <c r="ET75" s="25">
        <f t="shared" si="175"/>
        <v>74.672755295418057</v>
      </c>
      <c r="EU75" s="25">
        <f t="shared" si="176"/>
        <v>93.421276691809467</v>
      </c>
      <c r="EZ75" s="22">
        <f t="shared" si="177"/>
        <v>36320</v>
      </c>
      <c r="FA75" s="16">
        <f t="shared" si="178"/>
        <v>2213.2941774996025</v>
      </c>
      <c r="FB75" s="16">
        <f t="shared" si="179"/>
        <v>1531.9605039779851</v>
      </c>
      <c r="FC75" s="16" t="b">
        <v>1</v>
      </c>
      <c r="FD75" s="16" t="b">
        <v>1</v>
      </c>
      <c r="FE75" s="20">
        <f t="shared" si="79"/>
        <v>14.937665228885487</v>
      </c>
      <c r="FF75" s="20">
        <f t="shared" si="80"/>
        <v>28.281828712132345</v>
      </c>
      <c r="FG75" s="20">
        <f t="shared" si="81"/>
        <v>40.292289988492527</v>
      </c>
      <c r="FH75" s="20">
        <f t="shared" si="82"/>
        <v>40.365894823928976</v>
      </c>
      <c r="FI75" s="97"/>
      <c r="FJ75" s="1" t="s">
        <v>0</v>
      </c>
      <c r="FK75" s="16">
        <f t="shared" si="180"/>
        <v>84.336586813800807</v>
      </c>
      <c r="FL75" s="17">
        <f t="shared" si="84"/>
        <v>84.336586813800807</v>
      </c>
      <c r="FM75" s="1">
        <f t="shared" si="85"/>
        <v>83.86033392919191</v>
      </c>
      <c r="FN75" s="1">
        <f t="shared" si="86"/>
        <v>76.077864748035466</v>
      </c>
      <c r="FO75" s="1">
        <f t="shared" si="116"/>
        <v>76.020575288839169</v>
      </c>
      <c r="FP75" s="1">
        <f t="shared" si="117"/>
        <v>75.322659156012932</v>
      </c>
      <c r="FQ75" s="1">
        <f t="shared" si="87"/>
        <v>75.849120912786617</v>
      </c>
      <c r="FR75" s="16">
        <f t="shared" si="181"/>
        <v>83.692726138025463</v>
      </c>
      <c r="FS75" s="17">
        <f t="shared" si="89"/>
        <v>83.692726138025463</v>
      </c>
      <c r="FT75" s="1">
        <f t="shared" si="90"/>
        <v>83.074186635217799</v>
      </c>
      <c r="FU75" s="1">
        <f t="shared" si="91"/>
        <v>74.912641018380384</v>
      </c>
      <c r="FV75" s="1">
        <f t="shared" si="92"/>
        <v>74.672755295418057</v>
      </c>
      <c r="FW75" s="16">
        <f t="shared" si="182"/>
        <v>93.954362042576875</v>
      </c>
      <c r="FX75" s="15">
        <f t="shared" si="94"/>
        <v>93.954362042576875</v>
      </c>
      <c r="FY75" s="15">
        <f t="shared" si="95"/>
        <v>95.603539027171365</v>
      </c>
      <c r="FZ75" s="15">
        <f t="shared" si="96"/>
        <v>93.483586738376388</v>
      </c>
      <c r="GA75" s="15">
        <f t="shared" si="97"/>
        <v>93.421276691809467</v>
      </c>
      <c r="GC75">
        <f t="shared" si="98"/>
        <v>75</v>
      </c>
      <c r="GD75">
        <f t="shared" si="99"/>
        <v>91.265587294391835</v>
      </c>
      <c r="GE75" s="14">
        <f t="shared" si="183"/>
        <v>84.336586813800807</v>
      </c>
      <c r="GF75" t="e">
        <f>IF(#REF!=FALSE,FALSE,CH75)</f>
        <v>#REF!</v>
      </c>
      <c r="GG75" t="e">
        <f>IF(#REF!=FALSE,FALSE,AN75)</f>
        <v>#REF!</v>
      </c>
      <c r="GH75" s="13" t="e">
        <f>#REF!</f>
        <v>#REF!</v>
      </c>
      <c r="GI75">
        <f t="shared" si="101"/>
        <v>91.265587294391835</v>
      </c>
      <c r="GJ75">
        <f t="shared" si="102"/>
        <v>6.4943920000000004</v>
      </c>
      <c r="GK75" s="13">
        <f t="shared" si="184"/>
        <v>93.954362042576875</v>
      </c>
      <c r="GL75" t="str">
        <f t="shared" si="185"/>
        <v>ACT</v>
      </c>
    </row>
    <row r="76" spans="1:253">
      <c r="A76" s="21" t="s">
        <v>68</v>
      </c>
      <c r="B76" s="21" t="s">
        <v>67</v>
      </c>
      <c r="C76" s="21" t="s">
        <v>58</v>
      </c>
      <c r="D76" s="95" t="s">
        <v>73</v>
      </c>
      <c r="F76" s="21" t="s">
        <v>65</v>
      </c>
      <c r="G76" s="37">
        <f t="shared" si="118"/>
        <v>452.25000000000006</v>
      </c>
      <c r="H76" s="21">
        <v>20.100000000000001</v>
      </c>
      <c r="I76" s="21">
        <v>1.5</v>
      </c>
      <c r="J76" s="21">
        <f t="shared" si="119"/>
        <v>30.150000000000002</v>
      </c>
      <c r="K76" s="21" t="s">
        <v>63</v>
      </c>
      <c r="L76" s="21" t="s">
        <v>62</v>
      </c>
      <c r="M76" s="21">
        <v>0.1</v>
      </c>
      <c r="N76" s="21"/>
      <c r="O76" s="21"/>
      <c r="P76" s="21"/>
      <c r="Q76" s="21"/>
      <c r="R76" s="21"/>
      <c r="S76" s="21"/>
      <c r="T76" s="21"/>
      <c r="U76" t="s">
        <v>6</v>
      </c>
      <c r="V76" s="21">
        <v>15</v>
      </c>
      <c r="W76" s="21" t="s">
        <v>65</v>
      </c>
      <c r="X76">
        <v>3.5</v>
      </c>
      <c r="Y76" s="21" t="s">
        <v>61</v>
      </c>
      <c r="Z76" s="21" t="s">
        <v>59</v>
      </c>
      <c r="AB76" s="52">
        <v>36320</v>
      </c>
      <c r="AC76" s="52">
        <v>36320</v>
      </c>
      <c r="AD76" s="21">
        <v>29.4</v>
      </c>
      <c r="AE76" s="21"/>
      <c r="AF76" s="21"/>
      <c r="AG76" s="21"/>
      <c r="AI76" t="b">
        <v>0</v>
      </c>
      <c r="AJ76" s="50">
        <f t="shared" si="120"/>
        <v>6.0666666666666664</v>
      </c>
      <c r="AK76" s="32">
        <v>91</v>
      </c>
      <c r="AL76" s="7">
        <f t="shared" si="121"/>
        <v>2743.65</v>
      </c>
      <c r="AM76" s="9">
        <v>122.7</v>
      </c>
      <c r="AN76" s="21">
        <f t="shared" si="122"/>
        <v>3699.4050000000002</v>
      </c>
      <c r="AO76" s="21"/>
      <c r="AP76" s="21"/>
      <c r="AQ76" s="21"/>
      <c r="AR76" s="21"/>
      <c r="AS76" s="45">
        <f t="shared" si="123"/>
        <v>143.60181315644002</v>
      </c>
      <c r="AT76" s="21"/>
      <c r="AV76" s="21">
        <v>6.4943920000000004</v>
      </c>
      <c r="AX76" s="8">
        <f t="shared" si="124"/>
        <v>2.0928325405937347</v>
      </c>
      <c r="AY76" s="21">
        <f t="shared" si="125"/>
        <v>1.5521414930238782</v>
      </c>
      <c r="BA76">
        <f t="shared" si="126"/>
        <v>1188.7178969178331</v>
      </c>
      <c r="BB76" s="8">
        <f t="shared" si="127"/>
        <v>1188.7178969178331</v>
      </c>
      <c r="BC76">
        <f t="shared" si="128"/>
        <v>13.462</v>
      </c>
      <c r="BF76">
        <v>5.742</v>
      </c>
      <c r="BG76" s="13">
        <v>7.72</v>
      </c>
      <c r="BI76" s="21">
        <v>30.6</v>
      </c>
      <c r="BJ76" s="21">
        <f t="shared" si="129"/>
        <v>922.59000000000015</v>
      </c>
      <c r="BQ76" s="21"/>
      <c r="BR76" s="21">
        <v>0.56724699999999995</v>
      </c>
      <c r="BT76" s="8">
        <f t="shared" si="130"/>
        <v>1.0372971742594217</v>
      </c>
      <c r="BV76" s="8">
        <f t="shared" si="131"/>
        <v>810.93421384335227</v>
      </c>
      <c r="BW76">
        <f t="shared" si="132"/>
        <v>1.417</v>
      </c>
      <c r="BZ76">
        <v>0.95699999999999996</v>
      </c>
      <c r="CA76" s="13">
        <v>0.46</v>
      </c>
      <c r="CB76" s="38">
        <f t="shared" si="133"/>
        <v>83.333333333333343</v>
      </c>
      <c r="CC76" s="35" t="b">
        <f t="shared" si="134"/>
        <v>1</v>
      </c>
      <c r="CD76" s="35" t="b">
        <f t="shared" si="135"/>
        <v>1</v>
      </c>
      <c r="CE76" s="38">
        <f t="shared" si="136"/>
        <v>94.041450777202073</v>
      </c>
      <c r="CF76" s="35" t="b">
        <f t="shared" si="137"/>
        <v>1</v>
      </c>
      <c r="CG76" s="35" t="b">
        <f t="shared" si="138"/>
        <v>1</v>
      </c>
      <c r="CH76" s="53">
        <v>75</v>
      </c>
      <c r="CI76" s="16">
        <f t="shared" si="139"/>
        <v>91.265587294391835</v>
      </c>
      <c r="CJ76" s="35" t="b">
        <f t="shared" si="140"/>
        <v>1</v>
      </c>
      <c r="CK76" s="35" t="b">
        <f t="shared" si="141"/>
        <v>1</v>
      </c>
      <c r="CL76" s="32">
        <f t="shared" si="142"/>
        <v>66.373626373626365</v>
      </c>
      <c r="CM76" s="17">
        <f t="shared" si="143"/>
        <v>89.474075174565442</v>
      </c>
      <c r="CN76" s="35" t="b">
        <f t="shared" si="144"/>
        <v>1</v>
      </c>
      <c r="CO76" s="35" t="b">
        <f t="shared" si="145"/>
        <v>1</v>
      </c>
      <c r="CQ76" s="52">
        <v>36299</v>
      </c>
      <c r="CR76" s="88">
        <f t="shared" si="146"/>
        <v>21</v>
      </c>
      <c r="CS76" t="str">
        <f t="shared" si="147"/>
        <v>chlorpyrifos</v>
      </c>
      <c r="CT76">
        <f t="shared" si="148"/>
        <v>20.100000000000001</v>
      </c>
      <c r="CW76" s="93">
        <v>3</v>
      </c>
      <c r="CX76">
        <v>3572</v>
      </c>
      <c r="CY76" t="s">
        <v>60</v>
      </c>
      <c r="CZ76" s="92">
        <v>21</v>
      </c>
      <c r="DA76" s="1">
        <f t="shared" si="149"/>
        <v>3699.4050000000002</v>
      </c>
      <c r="DB76" s="8">
        <f t="shared" si="150"/>
        <v>567.99475058840346</v>
      </c>
      <c r="DC76" s="8" t="s">
        <v>74</v>
      </c>
      <c r="DD76" s="9">
        <f t="shared" si="151"/>
        <v>107.16</v>
      </c>
      <c r="DE76" s="9">
        <f t="shared" si="152"/>
        <v>5.3157025998692058</v>
      </c>
      <c r="DF76" s="1">
        <f t="shared" si="153"/>
        <v>0.84166448875843058</v>
      </c>
      <c r="DG76" s="1">
        <f t="shared" si="154"/>
        <v>2.8634672031842929</v>
      </c>
      <c r="DH76" s="2">
        <f t="shared" si="155"/>
        <v>0.74116513809777029</v>
      </c>
      <c r="DI76" s="7">
        <f t="shared" si="156"/>
        <v>89.597950992513034</v>
      </c>
      <c r="DJ76" s="31">
        <f t="shared" si="157"/>
        <v>1.4003238373878957</v>
      </c>
      <c r="DK76" s="31">
        <f t="shared" si="158"/>
        <v>1.0378712103191994</v>
      </c>
      <c r="DL76" s="31">
        <f t="shared" si="159"/>
        <v>0.3624526270686963</v>
      </c>
      <c r="DM76" s="30">
        <f t="shared" si="160"/>
        <v>81.924917967272734</v>
      </c>
      <c r="DN76" s="30">
        <f t="shared" si="161"/>
        <v>95.305017784084242</v>
      </c>
      <c r="DO76" s="7">
        <v>24.79</v>
      </c>
      <c r="DP76" s="7">
        <f t="shared" si="162"/>
        <v>40.5</v>
      </c>
      <c r="DQ76" s="7">
        <f t="shared" si="163"/>
        <v>47.458105393083756</v>
      </c>
      <c r="DR76" s="7">
        <f t="shared" si="57"/>
        <v>-4.4601544005707146</v>
      </c>
      <c r="DS76" s="6">
        <f t="shared" si="164"/>
        <v>-18.690000000000001</v>
      </c>
      <c r="DT76" s="5">
        <f t="shared" si="105"/>
        <v>6432.4305642633226</v>
      </c>
      <c r="DU76" s="5">
        <f t="shared" si="106"/>
        <v>6432.4305642633226</v>
      </c>
      <c r="DV76" s="5">
        <f t="shared" si="107"/>
        <v>3439.5890467200002</v>
      </c>
      <c r="DW76" s="5">
        <f t="shared" si="108"/>
        <v>84.327762138813313</v>
      </c>
      <c r="DX76" s="5">
        <f t="shared" si="109"/>
        <v>84.327762138813313</v>
      </c>
      <c r="DY76" s="5">
        <f t="shared" si="110"/>
        <v>78.291049355676563</v>
      </c>
      <c r="DZ76" s="5">
        <f t="shared" si="111"/>
        <v>-2.6071757176509891E-2</v>
      </c>
      <c r="EA76" s="5">
        <f t="shared" si="112"/>
        <v>-2.6071757176509891E-2</v>
      </c>
      <c r="EB76" s="5">
        <f t="shared" si="113"/>
        <v>-6.0627845403132596</v>
      </c>
      <c r="EC76" s="16">
        <f t="shared" si="59"/>
        <v>84.353833895989823</v>
      </c>
      <c r="ED76" s="3">
        <f t="shared" si="114"/>
        <v>11.35571311907815</v>
      </c>
      <c r="EE76" s="16">
        <f t="shared" si="60"/>
        <v>2.10628688092185</v>
      </c>
      <c r="EF76" s="16">
        <f t="shared" si="165"/>
        <v>5.9271450000000003</v>
      </c>
      <c r="EG76" s="16">
        <f t="shared" si="166"/>
        <v>2776.8150000000001</v>
      </c>
      <c r="EH76" s="16">
        <f t="shared" si="167"/>
        <v>1.5521414930238782E-3</v>
      </c>
      <c r="EI76" s="20">
        <f t="shared" si="168"/>
        <v>1.5611064069719649</v>
      </c>
      <c r="EJ76" s="26">
        <f t="shared" si="115"/>
        <v>0.54518047394988511</v>
      </c>
      <c r="EK76" s="29">
        <f t="shared" si="169"/>
        <v>72.812497266249295</v>
      </c>
      <c r="EL76" s="28">
        <f t="shared" si="170"/>
        <v>92.93807676230719</v>
      </c>
      <c r="EM76" s="25">
        <f t="shared" si="171"/>
        <v>75.849120912786617</v>
      </c>
      <c r="EN76" s="25">
        <f t="shared" si="172"/>
        <v>1</v>
      </c>
      <c r="EO76" s="25">
        <f t="shared" si="173"/>
        <v>25.150879087213379</v>
      </c>
      <c r="EP76" s="25">
        <f t="shared" si="70"/>
        <v>5.0150652126580946</v>
      </c>
      <c r="EQ76" s="26">
        <f t="shared" si="71"/>
        <v>3.2511913427206656</v>
      </c>
      <c r="ER76" s="26">
        <f t="shared" si="174"/>
        <v>2.4096696805098374</v>
      </c>
      <c r="ES76" s="26">
        <f t="shared" si="73"/>
        <v>0.84152166221082814</v>
      </c>
      <c r="ET76" s="25">
        <f t="shared" si="175"/>
        <v>58.034314167366119</v>
      </c>
      <c r="EU76" s="25">
        <f t="shared" si="176"/>
        <v>89.09946033405663</v>
      </c>
      <c r="EZ76" s="22">
        <f t="shared" si="177"/>
        <v>36320</v>
      </c>
      <c r="FA76" s="16">
        <f t="shared" si="178"/>
        <v>1188.7178969178331</v>
      </c>
      <c r="FB76" s="16">
        <f t="shared" si="179"/>
        <v>810.93421384335227</v>
      </c>
      <c r="FC76" s="16" t="b">
        <v>1</v>
      </c>
      <c r="FD76" s="16" t="b">
        <v>1</v>
      </c>
      <c r="FE76" s="20">
        <f t="shared" si="79"/>
        <v>0.74378238341968916</v>
      </c>
      <c r="FF76" s="20">
        <f t="shared" si="80"/>
        <v>567.99475058840346</v>
      </c>
      <c r="FG76" s="20">
        <f t="shared" si="81"/>
        <v>2.0804347826086955</v>
      </c>
      <c r="FH76" s="20">
        <f t="shared" si="82"/>
        <v>781.77617173431395</v>
      </c>
      <c r="FI76" s="97"/>
      <c r="FJ76" s="1" t="s">
        <v>0</v>
      </c>
      <c r="FK76" s="16">
        <f t="shared" si="180"/>
        <v>89.474075174565442</v>
      </c>
      <c r="FL76" s="17">
        <f t="shared" si="84"/>
        <v>89.474075174565442</v>
      </c>
      <c r="FM76" s="1">
        <f t="shared" si="85"/>
        <v>89.597950992513034</v>
      </c>
      <c r="FN76" s="1">
        <f t="shared" si="86"/>
        <v>84.353833895989823</v>
      </c>
      <c r="FO76" s="1">
        <f t="shared" si="116"/>
        <v>84.327762138813313</v>
      </c>
      <c r="FP76" s="1">
        <f t="shared" si="117"/>
        <v>78.291049355676563</v>
      </c>
      <c r="FQ76" s="1">
        <f t="shared" si="87"/>
        <v>75.849120912786617</v>
      </c>
      <c r="FR76" s="16">
        <f t="shared" si="181"/>
        <v>83.333333333333343</v>
      </c>
      <c r="FS76" s="17">
        <f t="shared" si="89"/>
        <v>83.333333333333343</v>
      </c>
      <c r="FT76" s="1">
        <f t="shared" si="90"/>
        <v>81.924917967272734</v>
      </c>
      <c r="FU76" s="1">
        <f t="shared" si="91"/>
        <v>72.812497266249295</v>
      </c>
      <c r="FV76" s="1">
        <f t="shared" si="92"/>
        <v>58.034314167366119</v>
      </c>
      <c r="FW76" s="16">
        <f t="shared" si="182"/>
        <v>94.041450777202073</v>
      </c>
      <c r="FX76" s="15">
        <f t="shared" si="94"/>
        <v>94.041450777202073</v>
      </c>
      <c r="FY76" s="15">
        <f t="shared" si="95"/>
        <v>95.305017784084242</v>
      </c>
      <c r="FZ76" s="15">
        <f t="shared" si="96"/>
        <v>92.93807676230719</v>
      </c>
      <c r="GA76" s="15">
        <f t="shared" si="97"/>
        <v>89.09946033405663</v>
      </c>
      <c r="GC76">
        <f t="shared" si="98"/>
        <v>75</v>
      </c>
      <c r="GD76">
        <f t="shared" si="99"/>
        <v>91.265587294391835</v>
      </c>
      <c r="GE76" s="14">
        <f t="shared" si="183"/>
        <v>89.474075174565442</v>
      </c>
      <c r="GF76" t="e">
        <f>IF(#REF!=FALSE,FALSE,CH76)</f>
        <v>#REF!</v>
      </c>
      <c r="GG76" t="e">
        <f>IF(#REF!=FALSE,FALSE,AN76)</f>
        <v>#REF!</v>
      </c>
      <c r="GH76" s="13" t="e">
        <f>#REF!</f>
        <v>#REF!</v>
      </c>
      <c r="GI76">
        <f t="shared" si="101"/>
        <v>91.265587294391835</v>
      </c>
      <c r="GJ76">
        <f t="shared" si="102"/>
        <v>6.4943920000000004</v>
      </c>
      <c r="GK76" s="13">
        <f t="shared" si="184"/>
        <v>94.041450777202073</v>
      </c>
      <c r="GL76" t="str">
        <f t="shared" si="185"/>
        <v>CLP</v>
      </c>
    </row>
    <row r="77" spans="1:253">
      <c r="A77" s="21" t="s">
        <v>68</v>
      </c>
      <c r="B77" s="21" t="s">
        <v>67</v>
      </c>
      <c r="C77" s="21" t="s">
        <v>58</v>
      </c>
      <c r="D77" s="95" t="s">
        <v>66</v>
      </c>
      <c r="F77" s="21" t="s">
        <v>65</v>
      </c>
      <c r="G77" s="37">
        <f t="shared" si="118"/>
        <v>1356.75</v>
      </c>
      <c r="H77" s="21">
        <v>20.100000000000001</v>
      </c>
      <c r="I77" s="21">
        <v>1.5</v>
      </c>
      <c r="J77" s="21">
        <f t="shared" si="119"/>
        <v>30.150000000000002</v>
      </c>
      <c r="K77" s="21" t="s">
        <v>72</v>
      </c>
      <c r="L77" s="21" t="s">
        <v>71</v>
      </c>
      <c r="M77" s="21">
        <v>20</v>
      </c>
      <c r="N77" s="21"/>
      <c r="O77" s="21"/>
      <c r="P77" s="21"/>
      <c r="Q77" s="21"/>
      <c r="R77" s="21"/>
      <c r="S77" s="21"/>
      <c r="T77" s="21"/>
      <c r="U77" t="s">
        <v>6</v>
      </c>
      <c r="V77" s="21">
        <v>45</v>
      </c>
      <c r="W77" s="21" t="s">
        <v>65</v>
      </c>
      <c r="X77">
        <v>3.5</v>
      </c>
      <c r="Y77" s="21" t="s">
        <v>61</v>
      </c>
      <c r="Z77" s="21" t="s">
        <v>59</v>
      </c>
      <c r="AB77" s="52">
        <v>36320</v>
      </c>
      <c r="AC77" s="52">
        <v>36320</v>
      </c>
      <c r="AD77" s="21">
        <v>29.4</v>
      </c>
      <c r="AE77" s="21"/>
      <c r="AF77" s="21"/>
      <c r="AG77" s="21"/>
      <c r="AI77" t="b">
        <v>0</v>
      </c>
      <c r="AJ77" s="50">
        <f t="shared" si="120"/>
        <v>6.0666666666666673</v>
      </c>
      <c r="AK77" s="9">
        <v>273</v>
      </c>
      <c r="AL77" s="7">
        <f t="shared" si="121"/>
        <v>8230.9500000000007</v>
      </c>
      <c r="AM77" s="9">
        <v>304.7</v>
      </c>
      <c r="AN77" s="21">
        <f t="shared" si="122"/>
        <v>9186.7049999999999</v>
      </c>
      <c r="AO77" s="21"/>
      <c r="AP77" s="21"/>
      <c r="AQ77" s="21"/>
      <c r="AR77" s="21"/>
      <c r="AS77" s="45">
        <f t="shared" si="123"/>
        <v>143.73014188317671</v>
      </c>
      <c r="AT77" s="21"/>
      <c r="AV77" s="21">
        <v>19.500586999999999</v>
      </c>
      <c r="AX77" s="8">
        <f t="shared" si="124"/>
        <v>69.698637459831488</v>
      </c>
      <c r="AY77" s="21">
        <f t="shared" si="125"/>
        <v>62.447417218687221</v>
      </c>
      <c r="BA77">
        <f t="shared" si="126"/>
        <v>2793.7107739372154</v>
      </c>
      <c r="BB77" s="8">
        <f t="shared" si="127"/>
        <v>2793.7107739372154</v>
      </c>
      <c r="BC77">
        <f t="shared" si="128"/>
        <v>628.16500000000008</v>
      </c>
      <c r="BF77">
        <v>573.68600000000004</v>
      </c>
      <c r="BG77">
        <v>54.478999999999999</v>
      </c>
      <c r="BI77" s="21">
        <v>108.3</v>
      </c>
      <c r="BJ77" s="21">
        <f t="shared" si="129"/>
        <v>3265.2450000000003</v>
      </c>
      <c r="BQ77" s="21"/>
      <c r="BR77" s="21">
        <v>4.3734060000000001</v>
      </c>
      <c r="BT77" s="8">
        <f t="shared" si="130"/>
        <v>69.6437786444815</v>
      </c>
      <c r="BV77" s="8">
        <f t="shared" si="131"/>
        <v>1244.3390803415004</v>
      </c>
      <c r="BW77">
        <f t="shared" si="132"/>
        <v>232.846</v>
      </c>
      <c r="BZ77">
        <v>227.404</v>
      </c>
      <c r="CA77">
        <v>5.4420000000000002</v>
      </c>
      <c r="CB77" s="38">
        <f t="shared" si="133"/>
        <v>60.360894287118739</v>
      </c>
      <c r="CC77" s="35" t="b">
        <f t="shared" si="134"/>
        <v>1</v>
      </c>
      <c r="CD77" s="35" t="b">
        <f t="shared" si="135"/>
        <v>1</v>
      </c>
      <c r="CE77" s="38">
        <f t="shared" si="136"/>
        <v>90.01082986104737</v>
      </c>
      <c r="CF77" s="35" t="b">
        <f t="shared" si="137"/>
        <v>1</v>
      </c>
      <c r="CG77" s="35" t="b">
        <f t="shared" si="138"/>
        <v>1</v>
      </c>
      <c r="CH77">
        <v>64.5</v>
      </c>
      <c r="CI77" s="16">
        <f t="shared" si="139"/>
        <v>77.57295203472593</v>
      </c>
      <c r="CJ77" s="35" t="b">
        <f t="shared" si="140"/>
        <v>1</v>
      </c>
      <c r="CK77" s="35" t="b">
        <f t="shared" si="141"/>
        <v>1</v>
      </c>
      <c r="CL77" s="32">
        <f t="shared" si="142"/>
        <v>60.329670329670328</v>
      </c>
      <c r="CM77" s="17">
        <f t="shared" si="143"/>
        <v>62.932350576679696</v>
      </c>
      <c r="CN77" s="35" t="b">
        <f t="shared" si="144"/>
        <v>1</v>
      </c>
      <c r="CO77" s="35" t="b">
        <f t="shared" si="145"/>
        <v>1</v>
      </c>
      <c r="CQ77" s="52">
        <v>36299</v>
      </c>
      <c r="CR77" s="88">
        <f t="shared" ref="CR77:CR79" si="186">AC77-CQ77</f>
        <v>21</v>
      </c>
      <c r="CS77" t="str">
        <f t="shared" ref="CS77:CS79" si="187">K77</f>
        <v>atrazine</v>
      </c>
      <c r="CT77">
        <f t="shared" ref="CT77:CT79" si="188">H77</f>
        <v>20.100000000000001</v>
      </c>
      <c r="CW77" s="93">
        <v>3</v>
      </c>
      <c r="CX77" s="96">
        <v>174</v>
      </c>
      <c r="CY77" s="1" t="s">
        <v>64</v>
      </c>
      <c r="CZ77" s="92">
        <v>21</v>
      </c>
      <c r="DA77" s="1">
        <f t="shared" si="149"/>
        <v>9186.7049999999999</v>
      </c>
      <c r="DB77" s="8">
        <f t="shared" si="150"/>
        <v>40.082717191527287</v>
      </c>
      <c r="DC77" s="8" t="s">
        <v>74</v>
      </c>
      <c r="DD77" s="9">
        <f t="shared" si="151"/>
        <v>5.22</v>
      </c>
      <c r="DE77" s="9">
        <f t="shared" si="152"/>
        <v>90.248830582063661</v>
      </c>
      <c r="DF77" s="1">
        <f t="shared" si="153"/>
        <v>0.98904095544434778</v>
      </c>
      <c r="DG77" s="1">
        <f t="shared" si="154"/>
        <v>18.62682447650775</v>
      </c>
      <c r="DH77" s="2">
        <f t="shared" si="155"/>
        <v>0.94904932271662457</v>
      </c>
      <c r="DI77" s="7">
        <f t="shared" si="156"/>
        <v>70.345046830101182</v>
      </c>
      <c r="DJ77" s="31">
        <f t="shared" si="157"/>
        <v>186.2820365796949</v>
      </c>
      <c r="DK77" s="31">
        <f t="shared" si="158"/>
        <v>176.79084065023292</v>
      </c>
      <c r="DL77" s="31">
        <f t="shared" si="159"/>
        <v>9.4911959294619699</v>
      </c>
      <c r="DM77" s="30">
        <f t="shared" si="160"/>
        <v>69.183344085399881</v>
      </c>
      <c r="DN77" s="30">
        <f t="shared" si="161"/>
        <v>82.578248628899274</v>
      </c>
      <c r="DO77" s="7">
        <v>24.79</v>
      </c>
      <c r="DP77" s="7">
        <f t="shared" si="162"/>
        <v>34.830000000000005</v>
      </c>
      <c r="DQ77" s="7">
        <f t="shared" si="163"/>
        <v>40.337935058057482</v>
      </c>
      <c r="DR77" s="7">
        <f t="shared" si="57"/>
        <v>-10.922888227956314</v>
      </c>
      <c r="DS77" s="6">
        <f t="shared" si="164"/>
        <v>-18.690000000000001</v>
      </c>
      <c r="DT77" s="5">
        <f t="shared" si="105"/>
        <v>9012.5865137897745</v>
      </c>
      <c r="DU77" s="5">
        <f t="shared" si="106"/>
        <v>9012.5865137897745</v>
      </c>
      <c r="DV77" s="5">
        <f t="shared" si="107"/>
        <v>8332.7430641400006</v>
      </c>
      <c r="DW77" s="5">
        <f t="shared" si="108"/>
        <v>65.633780700771027</v>
      </c>
      <c r="DX77" s="5">
        <f t="shared" si="109"/>
        <v>65.633780700771027</v>
      </c>
      <c r="DY77" s="5">
        <f t="shared" si="110"/>
        <v>64.659699613287842</v>
      </c>
      <c r="DZ77" s="5">
        <f t="shared" si="111"/>
        <v>3.9414299783089746E-2</v>
      </c>
      <c r="EA77" s="5">
        <f t="shared" si="112"/>
        <v>3.9414299783089746E-2</v>
      </c>
      <c r="EB77" s="5">
        <f t="shared" si="113"/>
        <v>-0.93466678770009537</v>
      </c>
      <c r="EC77" s="16">
        <f t="shared" si="59"/>
        <v>65.594366400987937</v>
      </c>
      <c r="ED77" s="3">
        <f t="shared" si="114"/>
        <v>412.04085170276591</v>
      </c>
      <c r="EE77" s="16">
        <f t="shared" si="60"/>
        <v>216.12414829723417</v>
      </c>
      <c r="EF77" s="16">
        <f t="shared" si="165"/>
        <v>15.127181</v>
      </c>
      <c r="EG77" s="16">
        <f t="shared" si="166"/>
        <v>5921.4599999999991</v>
      </c>
      <c r="EH77" s="16">
        <f t="shared" si="167"/>
        <v>6.2447417218687219E-2</v>
      </c>
      <c r="EI77" s="20">
        <f t="shared" si="168"/>
        <v>205.11247656419744</v>
      </c>
      <c r="EJ77" s="26">
        <f t="shared" si="115"/>
        <v>11.011671733036749</v>
      </c>
      <c r="EK77" s="29">
        <f t="shared" si="169"/>
        <v>64.246560563758322</v>
      </c>
      <c r="EL77" s="28">
        <f t="shared" si="170"/>
        <v>79.787309361337861</v>
      </c>
      <c r="EM77" s="25">
        <f t="shared" si="171"/>
        <v>73.267036469093966</v>
      </c>
      <c r="EN77" s="25">
        <f t="shared" si="172"/>
        <v>1</v>
      </c>
      <c r="EO77" s="25">
        <f t="shared" si="173"/>
        <v>27.732963530906037</v>
      </c>
      <c r="EP77" s="25">
        <f t="shared" si="70"/>
        <v>5.266209598079632</v>
      </c>
      <c r="EQ77" s="26">
        <f t="shared" si="71"/>
        <v>167.92712036391589</v>
      </c>
      <c r="ER77" s="26">
        <f t="shared" si="174"/>
        <v>159.37111984712746</v>
      </c>
      <c r="ES77" s="26">
        <f t="shared" si="73"/>
        <v>8.5560005167884174</v>
      </c>
      <c r="ET77" s="25">
        <f t="shared" si="175"/>
        <v>72.219799708006221</v>
      </c>
      <c r="EU77" s="25">
        <f t="shared" si="176"/>
        <v>84.294864963034527</v>
      </c>
      <c r="EZ77" s="22">
        <f t="shared" si="177"/>
        <v>36320</v>
      </c>
      <c r="FA77" s="16">
        <f t="shared" si="178"/>
        <v>2793.7107739372154</v>
      </c>
      <c r="FB77" s="16">
        <f t="shared" si="179"/>
        <v>1244.3390803415004</v>
      </c>
      <c r="FC77" s="16" t="b">
        <v>1</v>
      </c>
      <c r="FD77" s="16" t="b">
        <v>1</v>
      </c>
      <c r="FE77" s="20">
        <f t="shared" si="79"/>
        <v>10.530406211567762</v>
      </c>
      <c r="FF77" s="20">
        <f t="shared" si="80"/>
        <v>40.082717191527287</v>
      </c>
      <c r="FG77" s="20">
        <f t="shared" si="81"/>
        <v>41.786843072399854</v>
      </c>
      <c r="FH77" s="20">
        <f t="shared" si="82"/>
        <v>17.867196532997145</v>
      </c>
      <c r="FI77" s="97"/>
      <c r="FJ77" s="21" t="s">
        <v>0</v>
      </c>
      <c r="FK77" s="16">
        <f t="shared" si="180"/>
        <v>62.932350576679696</v>
      </c>
      <c r="FL77" s="17">
        <f t="shared" si="84"/>
        <v>62.932350576679696</v>
      </c>
      <c r="FM77" s="1">
        <f t="shared" si="85"/>
        <v>70.345046830101182</v>
      </c>
      <c r="FN77" s="1">
        <f t="shared" si="86"/>
        <v>65.594366400987937</v>
      </c>
      <c r="FO77" s="1">
        <f t="shared" si="116"/>
        <v>65.633780700771027</v>
      </c>
      <c r="FP77" s="1">
        <f t="shared" si="117"/>
        <v>64.659699613287842</v>
      </c>
      <c r="FQ77" s="1">
        <f t="shared" si="87"/>
        <v>73.267036469093966</v>
      </c>
      <c r="FR77" s="16">
        <f t="shared" si="181"/>
        <v>60.360894287118739</v>
      </c>
      <c r="FS77" s="17">
        <f t="shared" si="89"/>
        <v>60.360894287118739</v>
      </c>
      <c r="FT77" s="1">
        <f t="shared" si="90"/>
        <v>69.183344085399881</v>
      </c>
      <c r="FU77" s="1">
        <f t="shared" si="91"/>
        <v>64.246560563758322</v>
      </c>
      <c r="FV77" s="1">
        <f t="shared" si="92"/>
        <v>72.219799708006221</v>
      </c>
      <c r="FW77" s="16">
        <f t="shared" si="182"/>
        <v>90.01082986104737</v>
      </c>
      <c r="FX77" s="15">
        <f t="shared" si="94"/>
        <v>90.01082986104737</v>
      </c>
      <c r="FY77" s="15">
        <f t="shared" si="95"/>
        <v>82.578248628899274</v>
      </c>
      <c r="FZ77" s="15">
        <f t="shared" si="96"/>
        <v>79.787309361337861</v>
      </c>
      <c r="GA77" s="15">
        <f t="shared" si="97"/>
        <v>84.294864963034527</v>
      </c>
      <c r="GC77">
        <f t="shared" si="98"/>
        <v>64.5</v>
      </c>
      <c r="GD77">
        <f t="shared" si="99"/>
        <v>77.57295203472593</v>
      </c>
      <c r="GE77" s="14">
        <f t="shared" si="183"/>
        <v>62.932350576679696</v>
      </c>
      <c r="GF77" t="e">
        <f>IF(#REF!=FALSE,FALSE,CH77)</f>
        <v>#REF!</v>
      </c>
      <c r="GG77" t="e">
        <f>IF(#REF!=FALSE,FALSE,AN77)</f>
        <v>#REF!</v>
      </c>
      <c r="GH77" s="13" t="e">
        <f>#REF!</f>
        <v>#REF!</v>
      </c>
      <c r="GI77">
        <f t="shared" si="101"/>
        <v>77.57295203472593</v>
      </c>
      <c r="GJ77">
        <f t="shared" si="102"/>
        <v>19.500586999999999</v>
      </c>
      <c r="GK77" s="13">
        <f t="shared" si="184"/>
        <v>90.01082986104737</v>
      </c>
      <c r="GL77" t="str">
        <f t="shared" si="185"/>
        <v>ATR</v>
      </c>
    </row>
    <row r="78" spans="1:253">
      <c r="A78" s="21" t="s">
        <v>68</v>
      </c>
      <c r="B78" s="21" t="s">
        <v>67</v>
      </c>
      <c r="C78" s="21" t="s">
        <v>58</v>
      </c>
      <c r="D78" s="95" t="s">
        <v>66</v>
      </c>
      <c r="F78" s="21" t="s">
        <v>65</v>
      </c>
      <c r="G78" s="37">
        <f t="shared" si="118"/>
        <v>1356.75</v>
      </c>
      <c r="H78" s="21">
        <v>20.100000000000001</v>
      </c>
      <c r="I78" s="21">
        <v>1.5</v>
      </c>
      <c r="J78" s="21">
        <f t="shared" si="119"/>
        <v>30.150000000000002</v>
      </c>
      <c r="K78" s="21" t="s">
        <v>70</v>
      </c>
      <c r="L78" s="21" t="s">
        <v>69</v>
      </c>
      <c r="M78" s="21">
        <v>3</v>
      </c>
      <c r="N78" s="21"/>
      <c r="O78" s="21"/>
      <c r="P78" s="21"/>
      <c r="Q78" s="21"/>
      <c r="R78" s="21"/>
      <c r="S78" s="21"/>
      <c r="T78" s="21"/>
      <c r="U78" t="s">
        <v>6</v>
      </c>
      <c r="V78" s="21">
        <v>45</v>
      </c>
      <c r="W78" s="21" t="s">
        <v>65</v>
      </c>
      <c r="X78">
        <v>3.5</v>
      </c>
      <c r="Y78" s="21" t="s">
        <v>61</v>
      </c>
      <c r="Z78" s="21" t="s">
        <v>59</v>
      </c>
      <c r="AB78" s="52">
        <v>36320</v>
      </c>
      <c r="AC78" s="52">
        <v>36320</v>
      </c>
      <c r="AD78" s="21">
        <v>29.4</v>
      </c>
      <c r="AE78" s="21"/>
      <c r="AF78" s="21"/>
      <c r="AG78" s="21"/>
      <c r="AI78" t="b">
        <v>0</v>
      </c>
      <c r="AJ78" s="50">
        <f t="shared" si="120"/>
        <v>6.0666666666666673</v>
      </c>
      <c r="AK78" s="9">
        <v>273</v>
      </c>
      <c r="AL78" s="7">
        <f t="shared" si="121"/>
        <v>8230.9500000000007</v>
      </c>
      <c r="AM78" s="9">
        <v>304.7</v>
      </c>
      <c r="AN78" s="21">
        <f t="shared" si="122"/>
        <v>9186.7049999999999</v>
      </c>
      <c r="AO78" s="21"/>
      <c r="AP78" s="21"/>
      <c r="AQ78" s="21"/>
      <c r="AR78" s="21"/>
      <c r="AS78" s="45">
        <f t="shared" si="123"/>
        <v>143.73014188317671</v>
      </c>
      <c r="AT78" s="21"/>
      <c r="AV78" s="21">
        <v>19.500586999999999</v>
      </c>
      <c r="AX78" s="8">
        <f t="shared" si="124"/>
        <v>78.328382507486964</v>
      </c>
      <c r="AY78" s="21">
        <f t="shared" si="125"/>
        <v>70.17935157382324</v>
      </c>
      <c r="BA78">
        <f t="shared" si="126"/>
        <v>2213.3179888379773</v>
      </c>
      <c r="BB78" s="8">
        <f t="shared" si="127"/>
        <v>2213.3179888379773</v>
      </c>
      <c r="BC78">
        <f t="shared" si="128"/>
        <v>687.87799999999993</v>
      </c>
      <c r="BF78">
        <v>644.71699999999998</v>
      </c>
      <c r="BG78">
        <v>43.161000000000001</v>
      </c>
      <c r="BI78" s="21">
        <v>108.3</v>
      </c>
      <c r="BJ78" s="21">
        <f t="shared" si="129"/>
        <v>3265.2450000000003</v>
      </c>
      <c r="BQ78" s="21"/>
      <c r="BR78" s="21">
        <v>4.3734060000000001</v>
      </c>
      <c r="BT78" s="8">
        <f t="shared" si="130"/>
        <v>51.475769812066162</v>
      </c>
      <c r="BV78" s="8">
        <f t="shared" si="131"/>
        <v>1923.9009595724704</v>
      </c>
      <c r="BW78">
        <f t="shared" si="132"/>
        <v>176.49499999999998</v>
      </c>
      <c r="BZ78">
        <v>168.08099999999999</v>
      </c>
      <c r="CA78">
        <v>8.4139999999999997</v>
      </c>
      <c r="CB78" s="38">
        <f t="shared" si="133"/>
        <v>73.929491544352004</v>
      </c>
      <c r="CC78" s="35" t="b">
        <f t="shared" si="134"/>
        <v>1</v>
      </c>
      <c r="CD78" s="35" t="b">
        <f t="shared" si="135"/>
        <v>1</v>
      </c>
      <c r="CE78" s="38">
        <f t="shared" si="136"/>
        <v>80.505548990987236</v>
      </c>
      <c r="CF78" s="35" t="b">
        <f t="shared" si="137"/>
        <v>1</v>
      </c>
      <c r="CG78" s="35" t="b">
        <f t="shared" si="138"/>
        <v>1</v>
      </c>
      <c r="CH78">
        <v>64.5</v>
      </c>
      <c r="CI78" s="16">
        <f t="shared" si="139"/>
        <v>77.57295203472593</v>
      </c>
      <c r="CJ78" s="35" t="b">
        <f t="shared" si="140"/>
        <v>1</v>
      </c>
      <c r="CK78" s="35" t="b">
        <f t="shared" si="141"/>
        <v>1</v>
      </c>
      <c r="CL78" s="32">
        <f t="shared" si="142"/>
        <v>60.329670329670328</v>
      </c>
      <c r="CM78" s="17">
        <f t="shared" si="143"/>
        <v>74.342107175981781</v>
      </c>
      <c r="CN78" s="35" t="b">
        <f t="shared" si="144"/>
        <v>1</v>
      </c>
      <c r="CO78" s="35" t="b">
        <f t="shared" si="145"/>
        <v>1</v>
      </c>
      <c r="CQ78" s="52">
        <v>36299</v>
      </c>
      <c r="CR78" s="88">
        <f t="shared" si="186"/>
        <v>21</v>
      </c>
      <c r="CS78" t="str">
        <f t="shared" si="187"/>
        <v>acetochlor</v>
      </c>
      <c r="CT78">
        <f t="shared" si="188"/>
        <v>20.100000000000001</v>
      </c>
      <c r="CW78" s="93">
        <v>3</v>
      </c>
      <c r="CX78">
        <v>285</v>
      </c>
      <c r="CY78" t="s">
        <v>2</v>
      </c>
      <c r="CZ78" s="92">
        <v>21</v>
      </c>
      <c r="DA78" s="1">
        <f t="shared" si="149"/>
        <v>9186.7049999999999</v>
      </c>
      <c r="DB78" s="8">
        <f t="shared" si="150"/>
        <v>28.256909155840397</v>
      </c>
      <c r="DC78" s="8" t="s">
        <v>74</v>
      </c>
      <c r="DD78" s="9">
        <f t="shared" si="151"/>
        <v>8.5500000000000007</v>
      </c>
      <c r="DE78" s="9">
        <f t="shared" si="152"/>
        <v>55.099286039575702</v>
      </c>
      <c r="DF78" s="1">
        <f t="shared" si="153"/>
        <v>0.98217446119912222</v>
      </c>
      <c r="DG78" s="1">
        <f t="shared" si="154"/>
        <v>26.422342710960002</v>
      </c>
      <c r="DH78" s="2">
        <f t="shared" si="155"/>
        <v>0.96353338551194145</v>
      </c>
      <c r="DI78" s="7">
        <f t="shared" si="156"/>
        <v>71.522297190226951</v>
      </c>
      <c r="DJ78" s="31">
        <f t="shared" si="157"/>
        <v>195.89185253381066</v>
      </c>
      <c r="DK78" s="31">
        <f t="shared" si="158"/>
        <v>188.74833986610858</v>
      </c>
      <c r="DL78" s="31">
        <f t="shared" si="159"/>
        <v>7.1435126677020824</v>
      </c>
      <c r="DM78" s="30">
        <f t="shared" si="160"/>
        <v>70.723846297505943</v>
      </c>
      <c r="DN78" s="30">
        <f t="shared" si="161"/>
        <v>83.449149306776761</v>
      </c>
      <c r="DO78" s="7">
        <v>24.79</v>
      </c>
      <c r="DP78" s="7">
        <f t="shared" si="162"/>
        <v>34.830000000000005</v>
      </c>
      <c r="DQ78" s="7">
        <f t="shared" si="163"/>
        <v>40.337935058057482</v>
      </c>
      <c r="DR78" s="7">
        <f t="shared" si="57"/>
        <v>-9.745637867830542</v>
      </c>
      <c r="DS78" s="6">
        <f t="shared" si="164"/>
        <v>-18.690000000000001</v>
      </c>
      <c r="DT78" s="5">
        <f t="shared" si="105"/>
        <v>8781.9763153445638</v>
      </c>
      <c r="DU78" s="5">
        <f t="shared" si="106"/>
        <v>8781.9763153445638</v>
      </c>
      <c r="DV78" s="5">
        <f t="shared" si="107"/>
        <v>8397.6800188500001</v>
      </c>
      <c r="DW78" s="5">
        <f t="shared" si="108"/>
        <v>65.320264178779965</v>
      </c>
      <c r="DX78" s="5">
        <f t="shared" si="109"/>
        <v>65.320264178779965</v>
      </c>
      <c r="DY78" s="5">
        <f t="shared" si="110"/>
        <v>64.759554250016961</v>
      </c>
      <c r="DZ78" s="5">
        <f t="shared" si="111"/>
        <v>4.0449299100814073E-2</v>
      </c>
      <c r="EA78" s="5">
        <f t="shared" si="112"/>
        <v>4.0449299100814073E-2</v>
      </c>
      <c r="EB78" s="5">
        <f t="shared" si="113"/>
        <v>-0.52026062966218944</v>
      </c>
      <c r="EC78" s="16">
        <f t="shared" si="59"/>
        <v>65.279814879679151</v>
      </c>
      <c r="ED78" s="3">
        <f t="shared" si="114"/>
        <v>449.04548499803934</v>
      </c>
      <c r="EE78" s="16">
        <f t="shared" si="60"/>
        <v>238.83251500196059</v>
      </c>
      <c r="EF78" s="16">
        <f t="shared" si="165"/>
        <v>15.127181</v>
      </c>
      <c r="EG78" s="16">
        <f t="shared" si="166"/>
        <v>5921.4599999999991</v>
      </c>
      <c r="EH78" s="16">
        <f t="shared" si="167"/>
        <v>7.017935157382324E-2</v>
      </c>
      <c r="EI78" s="20">
        <f t="shared" si="168"/>
        <v>230.12310175017063</v>
      </c>
      <c r="EJ78" s="26">
        <f t="shared" si="115"/>
        <v>8.7094132517899503</v>
      </c>
      <c r="EK78" s="29">
        <f t="shared" si="169"/>
        <v>64.306338788930546</v>
      </c>
      <c r="EL78" s="28">
        <f t="shared" si="170"/>
        <v>79.821104117629446</v>
      </c>
      <c r="EM78" s="25">
        <f t="shared" si="171"/>
        <v>73.267036469093966</v>
      </c>
      <c r="EN78" s="25">
        <f t="shared" si="172"/>
        <v>1</v>
      </c>
      <c r="EO78" s="25">
        <f t="shared" si="173"/>
        <v>27.732963530906037</v>
      </c>
      <c r="EP78" s="25">
        <f t="shared" si="70"/>
        <v>5.266209598079632</v>
      </c>
      <c r="EQ78" s="26">
        <f t="shared" si="71"/>
        <v>183.89017487712576</v>
      </c>
      <c r="ER78" s="26">
        <f t="shared" si="174"/>
        <v>177.18432276173996</v>
      </c>
      <c r="ES78" s="26">
        <f t="shared" si="73"/>
        <v>6.7058521153858095</v>
      </c>
      <c r="ET78" s="25">
        <f t="shared" si="175"/>
        <v>72.517504151164005</v>
      </c>
      <c r="EU78" s="25">
        <f t="shared" si="176"/>
        <v>84.463167870564149</v>
      </c>
      <c r="EZ78" s="22">
        <f t="shared" si="177"/>
        <v>36320</v>
      </c>
      <c r="FA78" s="16">
        <f t="shared" si="178"/>
        <v>2213.3179888379773</v>
      </c>
      <c r="FB78" s="16">
        <f t="shared" si="179"/>
        <v>1923.9009595724704</v>
      </c>
      <c r="FC78" s="16" t="b">
        <v>1</v>
      </c>
      <c r="FD78" s="16" t="b">
        <v>1</v>
      </c>
      <c r="FE78" s="20">
        <f t="shared" si="79"/>
        <v>14.937489863534209</v>
      </c>
      <c r="FF78" s="20">
        <f t="shared" si="80"/>
        <v>28.256909155840397</v>
      </c>
      <c r="FG78" s="20">
        <f t="shared" si="81"/>
        <v>19.976348942239124</v>
      </c>
      <c r="FH78" s="20">
        <f t="shared" si="82"/>
        <v>37.374884661200326</v>
      </c>
      <c r="FI78" s="97"/>
      <c r="FJ78" s="21" t="s">
        <v>0</v>
      </c>
      <c r="FK78" s="16">
        <f t="shared" si="180"/>
        <v>74.342107175981781</v>
      </c>
      <c r="FL78" s="17">
        <f t="shared" si="84"/>
        <v>74.342107175981781</v>
      </c>
      <c r="FM78" s="1">
        <f t="shared" si="85"/>
        <v>71.522297190226951</v>
      </c>
      <c r="FN78" s="1">
        <f t="shared" si="86"/>
        <v>65.279814879679151</v>
      </c>
      <c r="FO78" s="1">
        <f t="shared" si="116"/>
        <v>65.320264178779965</v>
      </c>
      <c r="FP78" s="1">
        <f t="shared" si="117"/>
        <v>64.759554250016961</v>
      </c>
      <c r="FQ78" s="1">
        <f t="shared" si="87"/>
        <v>73.267036469093966</v>
      </c>
      <c r="FR78" s="16">
        <f t="shared" si="181"/>
        <v>73.929491544352004</v>
      </c>
      <c r="FS78" s="17">
        <f t="shared" si="89"/>
        <v>73.929491544352004</v>
      </c>
      <c r="FT78" s="1">
        <f t="shared" si="90"/>
        <v>70.723846297505943</v>
      </c>
      <c r="FU78" s="1">
        <f t="shared" si="91"/>
        <v>64.306338788930546</v>
      </c>
      <c r="FV78" s="1">
        <f t="shared" si="92"/>
        <v>72.517504151164005</v>
      </c>
      <c r="FW78" s="16">
        <f t="shared" si="182"/>
        <v>80.505548990987236</v>
      </c>
      <c r="FX78" s="15">
        <f t="shared" si="94"/>
        <v>80.505548990987236</v>
      </c>
      <c r="FY78" s="15">
        <f t="shared" si="95"/>
        <v>83.449149306776761</v>
      </c>
      <c r="FZ78" s="15">
        <f t="shared" si="96"/>
        <v>79.821104117629446</v>
      </c>
      <c r="GA78" s="15">
        <f t="shared" si="97"/>
        <v>84.463167870564149</v>
      </c>
      <c r="GC78">
        <f t="shared" si="98"/>
        <v>64.5</v>
      </c>
      <c r="GD78">
        <f t="shared" si="99"/>
        <v>77.57295203472593</v>
      </c>
      <c r="GE78" s="14">
        <f t="shared" si="183"/>
        <v>74.342107175981781</v>
      </c>
      <c r="GF78" t="e">
        <f>IF(#REF!=FALSE,FALSE,CH78)</f>
        <v>#REF!</v>
      </c>
      <c r="GG78" t="e">
        <f>IF(#REF!=FALSE,FALSE,AN78)</f>
        <v>#REF!</v>
      </c>
      <c r="GH78" s="13" t="e">
        <f>#REF!</f>
        <v>#REF!</v>
      </c>
      <c r="GI78">
        <f t="shared" si="101"/>
        <v>77.57295203472593</v>
      </c>
      <c r="GJ78">
        <f t="shared" si="102"/>
        <v>19.500586999999999</v>
      </c>
      <c r="GK78" s="13">
        <f t="shared" si="184"/>
        <v>80.505548990987236</v>
      </c>
      <c r="GL78" t="str">
        <f t="shared" si="185"/>
        <v>ACT</v>
      </c>
    </row>
    <row r="79" spans="1:253">
      <c r="A79" s="41" t="s">
        <v>68</v>
      </c>
      <c r="B79" s="41" t="s">
        <v>67</v>
      </c>
      <c r="C79" s="41" t="s">
        <v>58</v>
      </c>
      <c r="D79" s="94" t="s">
        <v>66</v>
      </c>
      <c r="E79" s="12"/>
      <c r="F79" s="41" t="s">
        <v>65</v>
      </c>
      <c r="G79" s="73">
        <f t="shared" si="118"/>
        <v>1356.75</v>
      </c>
      <c r="H79" s="41">
        <v>20.100000000000001</v>
      </c>
      <c r="I79" s="41">
        <v>1.5</v>
      </c>
      <c r="J79" s="41">
        <f t="shared" si="119"/>
        <v>30.150000000000002</v>
      </c>
      <c r="K79" s="41" t="s">
        <v>63</v>
      </c>
      <c r="L79" s="41" t="s">
        <v>62</v>
      </c>
      <c r="M79" s="41">
        <v>0.1</v>
      </c>
      <c r="N79" s="41"/>
      <c r="O79" s="41"/>
      <c r="P79" s="41"/>
      <c r="Q79" s="41"/>
      <c r="R79" s="41"/>
      <c r="S79" s="41"/>
      <c r="T79" s="41"/>
      <c r="U79" s="12" t="s">
        <v>6</v>
      </c>
      <c r="V79" s="41">
        <v>45</v>
      </c>
      <c r="W79" s="41" t="s">
        <v>65</v>
      </c>
      <c r="X79" s="12">
        <v>3.5</v>
      </c>
      <c r="Y79" s="41" t="s">
        <v>61</v>
      </c>
      <c r="Z79" s="41" t="s">
        <v>59</v>
      </c>
      <c r="AB79" s="46">
        <v>36320</v>
      </c>
      <c r="AC79" s="46">
        <v>36320</v>
      </c>
      <c r="AD79" s="41">
        <v>29.4</v>
      </c>
      <c r="AE79" s="41"/>
      <c r="AF79" s="41"/>
      <c r="AG79" s="41"/>
      <c r="AH79" s="12"/>
      <c r="AI79" t="b">
        <v>0</v>
      </c>
      <c r="AJ79" s="50">
        <f t="shared" si="120"/>
        <v>6.0666666666666673</v>
      </c>
      <c r="AK79" s="60">
        <v>273</v>
      </c>
      <c r="AL79" s="7">
        <f t="shared" si="121"/>
        <v>8230.9500000000007</v>
      </c>
      <c r="AM79" s="60">
        <v>304.7</v>
      </c>
      <c r="AN79" s="41">
        <f t="shared" si="122"/>
        <v>9186.7049999999999</v>
      </c>
      <c r="AO79" s="41"/>
      <c r="AP79" s="41"/>
      <c r="AQ79" s="41"/>
      <c r="AR79" s="41"/>
      <c r="AS79" s="45">
        <f t="shared" si="123"/>
        <v>143.73014188317671</v>
      </c>
      <c r="AT79" s="41"/>
      <c r="AU79" s="12"/>
      <c r="AV79" s="41">
        <v>19.500586999999999</v>
      </c>
      <c r="AW79" s="12"/>
      <c r="AX79" s="8">
        <f t="shared" si="124"/>
        <v>2.0947764231346317</v>
      </c>
      <c r="AY79" s="41">
        <f t="shared" si="125"/>
        <v>1.8768426764547246</v>
      </c>
      <c r="AZ79" s="12"/>
      <c r="BA79">
        <f t="shared" si="126"/>
        <v>1188.6821663368389</v>
      </c>
      <c r="BB79" s="8">
        <f t="shared" si="127"/>
        <v>1188.6821663368389</v>
      </c>
      <c r="BC79">
        <f t="shared" si="128"/>
        <v>40.421999999999997</v>
      </c>
      <c r="BD79" s="12"/>
      <c r="BE79" s="12"/>
      <c r="BF79" s="12">
        <v>17.242000000000001</v>
      </c>
      <c r="BG79" s="56">
        <v>23.18</v>
      </c>
      <c r="BH79" s="12"/>
      <c r="BI79" s="41">
        <v>108.3</v>
      </c>
      <c r="BJ79" s="41">
        <f t="shared" si="129"/>
        <v>3265.2450000000003</v>
      </c>
      <c r="BK79" s="12"/>
      <c r="BL79" s="12"/>
      <c r="BM79" s="12"/>
      <c r="BN79" s="12"/>
      <c r="BO79" s="12"/>
      <c r="BP79" s="12"/>
      <c r="BQ79" s="41"/>
      <c r="BR79" s="41">
        <v>4.3734060000000001</v>
      </c>
      <c r="BS79" s="12"/>
      <c r="BT79" s="8">
        <f t="shared" si="130"/>
        <v>1.4586960549667787</v>
      </c>
      <c r="BU79" s="12"/>
      <c r="BV79" s="8">
        <f t="shared" si="131"/>
        <v>1164.3099222894009</v>
      </c>
      <c r="BW79">
        <f t="shared" si="132"/>
        <v>9.8550000000000004</v>
      </c>
      <c r="BX79" s="12"/>
      <c r="BY79" s="12"/>
      <c r="BZ79" s="12">
        <v>4.7629999999999999</v>
      </c>
      <c r="CA79" s="12">
        <v>5.0919999999999996</v>
      </c>
      <c r="CB79" s="38">
        <f t="shared" si="133"/>
        <v>72.375594478598771</v>
      </c>
      <c r="CC79" s="35" t="b">
        <f t="shared" si="134"/>
        <v>1</v>
      </c>
      <c r="CD79" s="35" t="b">
        <f t="shared" si="135"/>
        <v>1</v>
      </c>
      <c r="CE79" s="38">
        <f t="shared" si="136"/>
        <v>78.032786885245912</v>
      </c>
      <c r="CF79" s="35" t="b">
        <f t="shared" si="137"/>
        <v>1</v>
      </c>
      <c r="CG79" s="35" t="b">
        <f t="shared" si="138"/>
        <v>1</v>
      </c>
      <c r="CH79" s="12">
        <v>64.5</v>
      </c>
      <c r="CI79" s="16">
        <f t="shared" si="139"/>
        <v>77.57295203472593</v>
      </c>
      <c r="CJ79" s="35" t="b">
        <f t="shared" si="140"/>
        <v>1</v>
      </c>
      <c r="CK79" s="35" t="b">
        <f t="shared" si="141"/>
        <v>1</v>
      </c>
      <c r="CL79" s="32">
        <f t="shared" si="142"/>
        <v>60.329670329670328</v>
      </c>
      <c r="CM79" s="17">
        <f t="shared" si="143"/>
        <v>75.619712037999108</v>
      </c>
      <c r="CN79" s="35" t="b">
        <f t="shared" si="144"/>
        <v>1</v>
      </c>
      <c r="CO79" s="35" t="b">
        <f t="shared" si="145"/>
        <v>1</v>
      </c>
      <c r="CQ79" s="52">
        <v>36299</v>
      </c>
      <c r="CR79" s="88">
        <f t="shared" si="186"/>
        <v>21</v>
      </c>
      <c r="CS79" t="str">
        <f t="shared" si="187"/>
        <v>chlorpyrifos</v>
      </c>
      <c r="CT79">
        <f t="shared" si="188"/>
        <v>20.100000000000001</v>
      </c>
      <c r="CW79" s="93">
        <v>3</v>
      </c>
      <c r="CX79">
        <v>3572</v>
      </c>
      <c r="CY79" t="s">
        <v>60</v>
      </c>
      <c r="CZ79" s="92">
        <v>21</v>
      </c>
      <c r="DA79" s="1">
        <f t="shared" si="149"/>
        <v>9186.7049999999999</v>
      </c>
      <c r="DB79" s="8">
        <f t="shared" si="150"/>
        <v>567.45061344450789</v>
      </c>
      <c r="DC79" s="8" t="s">
        <v>74</v>
      </c>
      <c r="DD79" s="9">
        <f t="shared" si="151"/>
        <v>107.16</v>
      </c>
      <c r="DE79" s="9">
        <f t="shared" si="152"/>
        <v>4.3962196308172112</v>
      </c>
      <c r="DF79" s="1">
        <f t="shared" si="153"/>
        <v>0.81468508170254761</v>
      </c>
      <c r="DG79" s="1">
        <f t="shared" si="154"/>
        <v>1.3157334223960466</v>
      </c>
      <c r="DH79" s="2">
        <f t="shared" si="155"/>
        <v>0.56817136621653175</v>
      </c>
      <c r="DI79" s="7">
        <f t="shared" si="156"/>
        <v>77.188544349158846</v>
      </c>
      <c r="DJ79" s="31">
        <f t="shared" si="157"/>
        <v>9.2208466031830092</v>
      </c>
      <c r="DK79" s="31">
        <f t="shared" si="158"/>
        <v>5.2390210122035565</v>
      </c>
      <c r="DL79" s="31">
        <f t="shared" si="159"/>
        <v>3.9818255909794527</v>
      </c>
      <c r="DM79" s="30">
        <f t="shared" si="160"/>
        <v>69.614771997427468</v>
      </c>
      <c r="DN79" s="30">
        <f t="shared" si="161"/>
        <v>82.822150168337132</v>
      </c>
      <c r="DO79" s="7">
        <v>24.79</v>
      </c>
      <c r="DP79" s="7">
        <f t="shared" si="162"/>
        <v>34.830000000000005</v>
      </c>
      <c r="DQ79" s="7">
        <f t="shared" si="163"/>
        <v>40.337935058057482</v>
      </c>
      <c r="DR79" s="7">
        <f t="shared" si="57"/>
        <v>-4.0793907088986368</v>
      </c>
      <c r="DS79" s="6">
        <f t="shared" si="164"/>
        <v>-18.690000000000001</v>
      </c>
      <c r="DT79" s="5">
        <f t="shared" si="105"/>
        <v>19296.570055677996</v>
      </c>
      <c r="DU79" s="5">
        <f t="shared" si="106"/>
        <v>19296.570055677996</v>
      </c>
      <c r="DV79" s="5">
        <f t="shared" si="107"/>
        <v>10320.632902920001</v>
      </c>
      <c r="DW79" s="5">
        <f t="shared" si="108"/>
        <v>71.996685670302</v>
      </c>
      <c r="DX79" s="5">
        <f t="shared" si="109"/>
        <v>71.996685670302</v>
      </c>
      <c r="DY79" s="5">
        <f t="shared" si="110"/>
        <v>67.146962120891914</v>
      </c>
      <c r="DZ79" s="5">
        <f t="shared" si="111"/>
        <v>1.8408700906462627E-2</v>
      </c>
      <c r="EA79" s="5">
        <f t="shared" si="112"/>
        <v>1.8408700906462627E-2</v>
      </c>
      <c r="EB79" s="5">
        <f t="shared" si="113"/>
        <v>-4.8313148485036237</v>
      </c>
      <c r="EC79" s="16">
        <f t="shared" si="59"/>
        <v>71.978276969395537</v>
      </c>
      <c r="ED79" s="3">
        <f t="shared" si="114"/>
        <v>29.095059116569061</v>
      </c>
      <c r="EE79" s="16">
        <f t="shared" si="60"/>
        <v>11.326940883430936</v>
      </c>
      <c r="EF79" s="16">
        <f t="shared" si="165"/>
        <v>15.127181</v>
      </c>
      <c r="EG79" s="16">
        <f t="shared" si="166"/>
        <v>5921.4599999999991</v>
      </c>
      <c r="EH79" s="16">
        <f t="shared" si="167"/>
        <v>1.8768426764547246E-3</v>
      </c>
      <c r="EI79" s="20">
        <f t="shared" si="168"/>
        <v>6.435643476792845</v>
      </c>
      <c r="EJ79" s="26">
        <f t="shared" si="115"/>
        <v>4.891297406638091</v>
      </c>
      <c r="EK79" s="29">
        <f t="shared" si="169"/>
        <v>62.674611548585759</v>
      </c>
      <c r="EL79" s="28">
        <f t="shared" si="170"/>
        <v>78.898630687497445</v>
      </c>
      <c r="EM79" s="25">
        <f t="shared" si="171"/>
        <v>73.267036469093966</v>
      </c>
      <c r="EN79" s="25">
        <f t="shared" si="172"/>
        <v>1</v>
      </c>
      <c r="EO79" s="25">
        <f t="shared" si="173"/>
        <v>27.732963530906037</v>
      </c>
      <c r="EP79" s="25">
        <f t="shared" si="70"/>
        <v>5.266209598079632</v>
      </c>
      <c r="EQ79" s="26">
        <f t="shared" si="71"/>
        <v>10.805998518462834</v>
      </c>
      <c r="ER79" s="26">
        <f t="shared" si="174"/>
        <v>6.1396589415688467</v>
      </c>
      <c r="ES79" s="26">
        <f t="shared" si="73"/>
        <v>4.6663395768939875</v>
      </c>
      <c r="ET79" s="25">
        <f t="shared" si="175"/>
        <v>64.391260053538772</v>
      </c>
      <c r="EU79" s="25">
        <f t="shared" si="176"/>
        <v>79.869113128153629</v>
      </c>
      <c r="EZ79" s="22">
        <f t="shared" si="177"/>
        <v>36320</v>
      </c>
      <c r="FA79" s="16">
        <f t="shared" si="178"/>
        <v>1188.6821663368389</v>
      </c>
      <c r="FB79" s="16">
        <f t="shared" si="179"/>
        <v>1164.3099222894009</v>
      </c>
      <c r="FC79" s="16" t="b">
        <v>1</v>
      </c>
      <c r="FD79" s="16" t="b">
        <v>1</v>
      </c>
      <c r="FE79" s="20">
        <f t="shared" si="79"/>
        <v>0.74383088869715275</v>
      </c>
      <c r="FF79" s="20">
        <f t="shared" si="80"/>
        <v>567.45061344450789</v>
      </c>
      <c r="FG79" s="20">
        <f t="shared" si="81"/>
        <v>0.93538884524744703</v>
      </c>
      <c r="FH79" s="20">
        <f t="shared" si="82"/>
        <v>798.18541931678681</v>
      </c>
      <c r="FI79" s="97"/>
      <c r="FJ79" s="21" t="s">
        <v>0</v>
      </c>
      <c r="FK79" s="16">
        <f t="shared" si="180"/>
        <v>75.619712037999108</v>
      </c>
      <c r="FL79" s="17">
        <f t="shared" si="84"/>
        <v>75.619712037999108</v>
      </c>
      <c r="FM79" s="1">
        <f t="shared" si="85"/>
        <v>77.188544349158846</v>
      </c>
      <c r="FN79" s="1">
        <f t="shared" si="86"/>
        <v>71.978276969395537</v>
      </c>
      <c r="FO79" s="1">
        <f t="shared" si="116"/>
        <v>71.996685670302</v>
      </c>
      <c r="FP79" s="1">
        <f t="shared" si="117"/>
        <v>67.146962120891914</v>
      </c>
      <c r="FQ79" s="1">
        <f t="shared" si="87"/>
        <v>73.267036469093966</v>
      </c>
      <c r="FR79" s="16">
        <f t="shared" si="181"/>
        <v>72.375594478598771</v>
      </c>
      <c r="FS79" s="17">
        <f t="shared" si="89"/>
        <v>72.375594478598771</v>
      </c>
      <c r="FT79" s="1">
        <f t="shared" si="90"/>
        <v>69.614771997427468</v>
      </c>
      <c r="FU79" s="1">
        <f t="shared" si="91"/>
        <v>62.674611548585759</v>
      </c>
      <c r="FV79" s="1">
        <f t="shared" si="92"/>
        <v>64.391260053538772</v>
      </c>
      <c r="FW79" s="16">
        <f t="shared" si="182"/>
        <v>78.032786885245912</v>
      </c>
      <c r="FX79" s="15">
        <f t="shared" si="94"/>
        <v>78.032786885245912</v>
      </c>
      <c r="FY79" s="15">
        <f t="shared" si="95"/>
        <v>82.822150168337132</v>
      </c>
      <c r="FZ79" s="15">
        <f t="shared" si="96"/>
        <v>78.898630687497445</v>
      </c>
      <c r="GA79" s="15">
        <f t="shared" si="97"/>
        <v>79.869113128153629</v>
      </c>
      <c r="GC79">
        <f t="shared" si="98"/>
        <v>64.5</v>
      </c>
      <c r="GD79">
        <f t="shared" si="99"/>
        <v>77.57295203472593</v>
      </c>
      <c r="GE79" s="14">
        <f t="shared" si="183"/>
        <v>75.619712037999108</v>
      </c>
      <c r="GF79" t="e">
        <f>IF(#REF!=FALSE,FALSE,CH79)</f>
        <v>#REF!</v>
      </c>
      <c r="GG79" t="e">
        <f>IF(#REF!=FALSE,FALSE,AN79)</f>
        <v>#REF!</v>
      </c>
      <c r="GH79" s="13" t="e">
        <f>#REF!</f>
        <v>#REF!</v>
      </c>
      <c r="GI79">
        <f t="shared" si="101"/>
        <v>77.57295203472593</v>
      </c>
      <c r="GJ79">
        <f t="shared" si="102"/>
        <v>19.500586999999999</v>
      </c>
      <c r="GK79" s="13">
        <f t="shared" si="184"/>
        <v>78.032786885245912</v>
      </c>
      <c r="GL79" t="str">
        <f t="shared" si="185"/>
        <v>CLP</v>
      </c>
    </row>
    <row r="80" spans="1:253">
      <c r="A80" t="s">
        <v>13</v>
      </c>
      <c r="B80" s="21" t="s">
        <v>12</v>
      </c>
      <c r="C80" s="21" t="s">
        <v>11</v>
      </c>
      <c r="D80" t="s">
        <v>18</v>
      </c>
      <c r="E80" t="s">
        <v>10</v>
      </c>
      <c r="F80" t="s">
        <v>9</v>
      </c>
      <c r="G80">
        <v>50</v>
      </c>
      <c r="H80">
        <v>5</v>
      </c>
      <c r="I80">
        <v>2.5</v>
      </c>
      <c r="J80" s="21">
        <f t="shared" ref="J80:J81" si="189">H80*I80</f>
        <v>12.5</v>
      </c>
      <c r="K80" t="s">
        <v>54</v>
      </c>
      <c r="L80" t="s">
        <v>53</v>
      </c>
      <c r="U80" t="s">
        <v>6</v>
      </c>
      <c r="V80" s="53">
        <f t="shared" ref="V80:V97" si="190">G80/(H80*I80)</f>
        <v>4</v>
      </c>
      <c r="W80" t="s">
        <v>5</v>
      </c>
      <c r="X80">
        <v>10</v>
      </c>
      <c r="Y80" s="52" t="s">
        <v>4</v>
      </c>
      <c r="Z80" s="52" t="s">
        <v>3</v>
      </c>
      <c r="AA80" s="52"/>
      <c r="AB80" s="52">
        <v>34493</v>
      </c>
      <c r="AC80" s="52">
        <v>34493</v>
      </c>
      <c r="AD80" s="21">
        <f t="shared" ref="AD80:AD81" si="191">AE80</f>
        <v>27.2</v>
      </c>
      <c r="AE80" s="21">
        <v>27.2</v>
      </c>
      <c r="AF80" s="21"/>
      <c r="AG80" s="52"/>
      <c r="AH80" s="52"/>
      <c r="AI80" t="b">
        <v>0</v>
      </c>
      <c r="AJ80" s="50">
        <f t="shared" ref="AJ80:AJ81" si="192">AL80/G80</f>
        <v>13.34</v>
      </c>
      <c r="AK80" s="16">
        <f t="shared" ref="AK80:AK81" si="193">AL80/J80</f>
        <v>53.36</v>
      </c>
      <c r="AL80">
        <v>667</v>
      </c>
      <c r="AM80" s="7">
        <f t="shared" ref="AM80:AM97" si="194">AN80/J80</f>
        <v>80.56</v>
      </c>
      <c r="AN80" s="21">
        <f t="shared" ref="AN80:AN81" si="195">IF(Z80="natural",AL80+AD80*J80,AL80)</f>
        <v>1007</v>
      </c>
      <c r="AQ80" s="52"/>
      <c r="AS80" s="45">
        <f t="shared" ref="AS80:AS81" si="196">AV80/(G80/10000)</f>
        <v>14946.6</v>
      </c>
      <c r="AT80">
        <v>74733</v>
      </c>
      <c r="AU80">
        <v>112000</v>
      </c>
      <c r="AV80">
        <f t="shared" ref="AV80:AV81" si="197">IFERROR(AT80/1000,"n.a.")</f>
        <v>74.733000000000004</v>
      </c>
      <c r="AW80" s="55"/>
      <c r="AX80">
        <v>20.100000000000001</v>
      </c>
      <c r="AY80" s="21">
        <f t="shared" ref="AY80:AY81" si="198">AX80*AL80/AN80</f>
        <v>13.313505461767628</v>
      </c>
      <c r="BA80" s="51">
        <v>220</v>
      </c>
      <c r="BB80" s="8">
        <f t="shared" ref="BB80:BB97" si="199">BA80</f>
        <v>220</v>
      </c>
      <c r="BC80" s="24">
        <f t="shared" ref="BC80:BC97" si="200">BF80+BG80</f>
        <v>29.84796</v>
      </c>
      <c r="BD80" s="7">
        <f t="shared" ref="BD80:BD81" si="201">AX80/1000*AL80</f>
        <v>13.406700000000001</v>
      </c>
      <c r="BE80" s="7"/>
      <c r="BF80" s="43">
        <f t="shared" ref="BF80:BF81" si="202">BD80</f>
        <v>13.406700000000001</v>
      </c>
      <c r="BG80">
        <f t="shared" ref="BG80:BG97" si="203">BA80/1000*AV80</f>
        <v>16.44126</v>
      </c>
      <c r="BH80" s="50">
        <f t="shared" ref="BH80:BH81" si="204">BJ80/G80</f>
        <v>12.74</v>
      </c>
      <c r="BI80" s="21">
        <f t="shared" ref="BI80:BI81" si="205">BH80*G80/J80</f>
        <v>50.96</v>
      </c>
      <c r="BJ80">
        <v>637</v>
      </c>
      <c r="BL80">
        <v>110000</v>
      </c>
      <c r="BQ80">
        <v>70088</v>
      </c>
      <c r="BR80">
        <f t="shared" ref="BR80:BR81" si="206">IFERROR(BQ80/1000,"n.a.")</f>
        <v>70.087999999999994</v>
      </c>
      <c r="BS80" s="54"/>
      <c r="BT80">
        <v>17.100000000000001</v>
      </c>
      <c r="BV80">
        <v>160</v>
      </c>
      <c r="BW80" s="24">
        <f t="shared" ref="BW80:BW97" si="207">BZ80+CA80</f>
        <v>22.106780000000001</v>
      </c>
      <c r="BX80">
        <f t="shared" ref="BX80:BX81" si="208">BT80/1000*BJ80</f>
        <v>10.8927</v>
      </c>
      <c r="BZ80" s="21">
        <f t="shared" ref="BZ80:BZ81" si="209">BX80</f>
        <v>10.8927</v>
      </c>
      <c r="CA80">
        <f t="shared" ref="CA80:CA97" si="210">BV80/1000*BR80</f>
        <v>11.214079999999999</v>
      </c>
      <c r="CB80" s="40">
        <f t="shared" ref="CB80:CB81" si="211">IFERROR((BF80-BZ80)/BF80*100,-99999)</f>
        <v>18.751818120790357</v>
      </c>
      <c r="CC80" s="39" t="b">
        <f t="shared" ref="CC80:CC81" si="212">AND(CB80&gt;=0,TRUE)</f>
        <v>1</v>
      </c>
      <c r="CD80" s="39" t="b">
        <f t="shared" ref="CD80:CD81" si="213">IFERROR(CC80,FALSE)</f>
        <v>1</v>
      </c>
      <c r="CE80" s="38">
        <f t="shared" ref="CE80" si="214">(BG80-CA80)/BG80*100</f>
        <v>31.793062088915331</v>
      </c>
      <c r="CF80" s="35" t="b">
        <f t="shared" ref="CF80:CF81" si="215">AND(CE80&gt;=0,TRUE)</f>
        <v>1</v>
      </c>
      <c r="CG80" s="35" t="b">
        <f t="shared" ref="CG80:CG81" si="216">IFERROR(CF80,FALSE)</f>
        <v>1</v>
      </c>
      <c r="CH80" s="17">
        <f t="shared" ref="CH80:CH81" si="217">(AN80-BJ80)/AN80*100</f>
        <v>36.742800397219469</v>
      </c>
      <c r="CI80" s="16">
        <f t="shared" ref="CI80" si="218">IFERROR((AV80-BR80)/AV80*100,-99999)</f>
        <v>6.2154603722585868</v>
      </c>
      <c r="CJ80" s="35" t="b">
        <f t="shared" ref="CJ80:CJ81" si="219">AND(CI80&gt;=0,TRUE)</f>
        <v>1</v>
      </c>
      <c r="CK80" s="35" t="b">
        <f t="shared" ref="CK80:CK81" si="220">IFERROR(CJ80,FALSE)</f>
        <v>1</v>
      </c>
      <c r="CL80" s="37">
        <f t="shared" ref="CL80:CL81" si="221">(AL80-BJ80)/AL80*100</f>
        <v>4.497751124437781</v>
      </c>
      <c r="CM80" s="36">
        <f t="shared" ref="CM80:CM97" si="222">(BC80-BW80)/BC80*100</f>
        <v>25.935373807791219</v>
      </c>
      <c r="CN80" s="35" t="b">
        <f t="shared" ref="CN80:CN81" si="223">AND(CM80&gt;=0,TRUE)</f>
        <v>1</v>
      </c>
      <c r="CO80" s="35" t="b">
        <f t="shared" ref="CO80:CO81" si="224">IFERROR(CN80,FALSE)</f>
        <v>1</v>
      </c>
      <c r="CP80">
        <f t="shared" ref="CP80:CP88" si="225">YEAR(AC80)</f>
        <v>1994</v>
      </c>
      <c r="CQ80" s="52">
        <v>34471</v>
      </c>
      <c r="CR80">
        <f t="shared" ref="CR80:CR81" si="226">AC80-CQ80</f>
        <v>22</v>
      </c>
      <c r="CS80" t="str">
        <f t="shared" ref="CS80:CS81" si="227">K80</f>
        <v>Desethyl-TBZ</v>
      </c>
      <c r="CT80">
        <f t="shared" ref="CT80:CT81" si="228">H80</f>
        <v>5</v>
      </c>
      <c r="CU80" s="7"/>
      <c r="CV80" s="7"/>
      <c r="CW80" s="21">
        <v>0.8</v>
      </c>
      <c r="CX80" s="7">
        <v>78</v>
      </c>
      <c r="CY80" s="7" t="s">
        <v>2</v>
      </c>
      <c r="CZ80" s="33">
        <v>24</v>
      </c>
      <c r="DA80" s="1">
        <f t="shared" ref="DA80:DA81" si="229">AN80</f>
        <v>1007</v>
      </c>
      <c r="DB80" s="8">
        <v>10.9452736318408</v>
      </c>
      <c r="DC80" s="8" t="s">
        <v>52</v>
      </c>
      <c r="DD80" s="9">
        <f t="shared" ref="DD80:DD81" si="230">CX80*CW80/100</f>
        <v>0.62400000000000011</v>
      </c>
      <c r="DE80" s="9">
        <f t="shared" ref="DE80:DE81" si="231">DA80/(DD80*AV80)</f>
        <v>21.59396854511462</v>
      </c>
      <c r="DF80">
        <f t="shared" ref="DF80:DF88" si="232">DE80/(1+DE80)</f>
        <v>0.95574040045230457</v>
      </c>
      <c r="DG80">
        <f t="shared" ref="DG80" si="233">BJ80/(DB80*BR80)</f>
        <v>0.83036520322503626</v>
      </c>
      <c r="DH80" s="2">
        <f t="shared" ref="DH80:DH97" si="234">DG80/(1+DG80)</f>
        <v>0.45366094250587985</v>
      </c>
      <c r="DI80" s="7">
        <f t="shared" ref="DI80:DI81" si="235">SUM(DO80:DS80)</f>
        <v>18.958358767130299</v>
      </c>
      <c r="DJ80" s="31">
        <f t="shared" ref="DJ80:DJ97" si="236">BC80*(1-DI80/100)</f>
        <v>24.189276658530456</v>
      </c>
      <c r="DK80" s="31">
        <f t="shared" ref="DK80:DK81" si="237">DJ80-DL80</f>
        <v>10.973730047444407</v>
      </c>
      <c r="DL80" s="31">
        <f t="shared" ref="DL80:DL81" si="238">DJ80*BR80 *DB80 / (BJ80+BR80*DB80)</f>
        <v>13.215546611086049</v>
      </c>
      <c r="DM80" s="30">
        <f t="shared" ref="DM80:DM97" si="239">(BF80-DK80)/BF80*100</f>
        <v>18.147418474013691</v>
      </c>
      <c r="DN80" s="30">
        <f t="shared" ref="DN80:DN97" si="240">(BG80-DL80)/BG80*100</f>
        <v>19.61962397598451</v>
      </c>
      <c r="DO80" s="7">
        <v>24.79</v>
      </c>
      <c r="DP80" s="7">
        <f t="shared" ref="DP80:DP81" si="241">0.54*CH80</f>
        <v>19.841112214498516</v>
      </c>
      <c r="DQ80" s="7">
        <f t="shared" ref="DQ80:DQ81" si="242">0.52*CI80</f>
        <v>3.2320393935744653</v>
      </c>
      <c r="DR80" s="7">
        <f t="shared" si="57"/>
        <v>-7.5447928409426819</v>
      </c>
      <c r="DS80" s="6">
        <f t="shared" ref="DS80:DS81" si="243">-0.89*CZ80</f>
        <v>-21.36</v>
      </c>
      <c r="DT80" s="5">
        <f t="shared" si="105"/>
        <v>1484.9731343283581</v>
      </c>
      <c r="DU80" s="5">
        <f t="shared" si="106"/>
        <v>1484.9731343283586</v>
      </c>
      <c r="DV80" s="5">
        <f t="shared" si="107"/>
        <v>713.63339199999996</v>
      </c>
      <c r="DW80" s="5">
        <f t="shared" si="108"/>
        <v>19.927315035446394</v>
      </c>
      <c r="DX80" s="5">
        <f t="shared" si="109"/>
        <v>19.927315035446387</v>
      </c>
      <c r="DY80" s="5">
        <f t="shared" si="110"/>
        <v>34.747947815964011</v>
      </c>
      <c r="DZ80" s="5">
        <f t="shared" si="111"/>
        <v>0</v>
      </c>
      <c r="EA80" s="5">
        <f t="shared" si="112"/>
        <v>0</v>
      </c>
      <c r="EB80" s="5">
        <f t="shared" si="113"/>
        <v>14.82063278051762</v>
      </c>
      <c r="EC80" s="16">
        <f t="shared" si="59"/>
        <v>19.927315035446391</v>
      </c>
      <c r="ED80" s="3">
        <f t="shared" si="114"/>
        <v>5.9478970208540245</v>
      </c>
      <c r="EE80" s="16">
        <f t="shared" si="60"/>
        <v>23.900062979145975</v>
      </c>
      <c r="EF80" s="16">
        <f t="shared" ref="EF80:EF81" si="244">AV80-BR80</f>
        <v>4.6450000000000102</v>
      </c>
      <c r="EG80" s="16">
        <f t="shared" ref="EG80:EG81" si="245">AN80-BJ80</f>
        <v>370</v>
      </c>
      <c r="EH80" s="16">
        <f t="shared" ref="EH80:EH81" si="246">AY80/1000</f>
        <v>1.3313505461767627E-2</v>
      </c>
      <c r="EI80" s="20">
        <f t="shared" ref="EI80:EI81" si="247">EE80-EJ80</f>
        <v>10.842525097069252</v>
      </c>
      <c r="EJ80" s="26">
        <f t="shared" si="115"/>
        <v>13.057537882076723</v>
      </c>
      <c r="EK80" s="29">
        <f t="shared" ref="EK80:EK81" si="248">($BF80-EI80)/$BF80*100</f>
        <v>19.126070568676472</v>
      </c>
      <c r="EL80" s="28">
        <f t="shared" ref="EL80:EL81" si="249">($BG80-EJ80)/$BG80*100</f>
        <v>20.580673974642316</v>
      </c>
      <c r="EM80" s="25">
        <f t="shared" ref="EM80:EM81" si="250">101 - EO80</f>
        <v>72.105120719576618</v>
      </c>
      <c r="EN80" s="25">
        <f t="shared" ref="EN80:EN81" si="251">IF(CX80&lt;=0, FALSE, IF(CX80&lt;=9000,1,IF(CX80&gt;9000,2,FALSE)))</f>
        <v>1</v>
      </c>
      <c r="EO80" s="25">
        <f t="shared" ref="EO80:EO81" si="252">POWER(EP80,2)</f>
        <v>28.894879280423382</v>
      </c>
      <c r="EP80" s="25">
        <f t="shared" si="70"/>
        <v>5.3753957324482986</v>
      </c>
      <c r="EQ80" s="26">
        <f t="shared" si="71"/>
        <v>8.3260524096690585</v>
      </c>
      <c r="ER80" s="26">
        <f t="shared" ref="ER80:ER81" si="253">EQ80-ES80</f>
        <v>3.7772047835238176</v>
      </c>
      <c r="ES80" s="26">
        <f t="shared" si="73"/>
        <v>4.5488476261452409</v>
      </c>
      <c r="ET80" s="25">
        <f t="shared" ref="ET80:ET81" si="254">($BF80-ER80)/$BF80*100</f>
        <v>71.825991604766145</v>
      </c>
      <c r="EU80" s="25">
        <f t="shared" ref="EU80:EU81" si="255">($BG80-ES80)/$BG80*100</f>
        <v>72.332731030679881</v>
      </c>
      <c r="EV80" s="1"/>
      <c r="EW80" s="1"/>
      <c r="EX80" s="2"/>
      <c r="EY80" s="1"/>
      <c r="EZ80" s="22">
        <f t="shared" ref="EZ80:EZ81" si="256">AC80</f>
        <v>34493</v>
      </c>
      <c r="FA80" s="3">
        <f t="shared" ref="FA80:FA81" si="257">IFERROR(BA80,FALSE)</f>
        <v>220</v>
      </c>
      <c r="FB80" s="3">
        <f t="shared" ref="FB80:FB81" si="258">IFERROR(BV80,FALSE)</f>
        <v>160</v>
      </c>
      <c r="FC80" s="3" t="b">
        <v>1</v>
      </c>
      <c r="FD80" s="3" t="b">
        <v>1</v>
      </c>
      <c r="FE80" s="20">
        <f t="shared" si="79"/>
        <v>0.81543020425441848</v>
      </c>
      <c r="FF80" s="20">
        <f t="shared" si="80"/>
        <v>10.945273631840795</v>
      </c>
      <c r="FG80" s="20">
        <f t="shared" si="81"/>
        <v>0.97134138511585444</v>
      </c>
      <c r="FH80" s="20">
        <f t="shared" si="82"/>
        <v>9.3567251461988299</v>
      </c>
      <c r="FI80" s="19" t="s">
        <v>56</v>
      </c>
      <c r="FJ80" s="18" t="s">
        <v>0</v>
      </c>
      <c r="FK80" s="16">
        <f t="shared" ref="FK80:FK81" si="259">IF(AND(CH80&lt;100,CH80&gt;=0,CO80=TRUE,CK80=TRUE),IFERROR(CM80,FALSE),FALSE)</f>
        <v>25.935373807791219</v>
      </c>
      <c r="FL80" s="17">
        <f t="shared" si="84"/>
        <v>25.935373807791219</v>
      </c>
      <c r="FM80" s="1">
        <f t="shared" si="85"/>
        <v>18.958358767130299</v>
      </c>
      <c r="FN80" s="1">
        <f t="shared" si="86"/>
        <v>19.927315035446391</v>
      </c>
      <c r="FO80" s="1">
        <f t="shared" si="116"/>
        <v>19.927315035446394</v>
      </c>
      <c r="FP80" s="1">
        <f t="shared" si="117"/>
        <v>34.747947815964011</v>
      </c>
      <c r="FQ80" s="1">
        <f t="shared" si="87"/>
        <v>72.105120719576618</v>
      </c>
      <c r="FR80" s="16">
        <f t="shared" ref="FR80" si="260">IF(AND(CH80&lt;100,CH80&gt;=0, CD80=TRUE,CK80=TRUE),IFERROR(CB80,FALSE),FALSE)</f>
        <v>18.751818120790357</v>
      </c>
      <c r="FS80" s="17">
        <f t="shared" si="89"/>
        <v>18.751818120790357</v>
      </c>
      <c r="FT80" s="1">
        <f t="shared" si="90"/>
        <v>18.147418474013691</v>
      </c>
      <c r="FU80" s="1">
        <f t="shared" si="91"/>
        <v>19.126070568676472</v>
      </c>
      <c r="FV80" s="1">
        <f t="shared" si="92"/>
        <v>71.825991604766145</v>
      </c>
      <c r="FW80" s="16">
        <f t="shared" ref="FW80" si="261">IF(AND(CH80&lt;100,CH80&gt;=0,CG80=TRUE,CK80=TRUE),IFERROR(CE80, FALSE),FALSE)</f>
        <v>31.793062088915331</v>
      </c>
      <c r="FX80" s="15">
        <f t="shared" si="94"/>
        <v>31.793062088915331</v>
      </c>
      <c r="FY80" s="15">
        <f t="shared" si="95"/>
        <v>19.61962397598451</v>
      </c>
      <c r="FZ80" s="15">
        <f t="shared" si="96"/>
        <v>20.580673974642316</v>
      </c>
      <c r="GA80" s="15">
        <f t="shared" si="97"/>
        <v>72.332731030679881</v>
      </c>
      <c r="GC80">
        <f t="shared" si="98"/>
        <v>36.742800397219469</v>
      </c>
      <c r="GD80">
        <f t="shared" si="99"/>
        <v>6.2154603722585868</v>
      </c>
      <c r="GE80" s="14">
        <f t="shared" ref="GE80:GE81" si="262">FL80</f>
        <v>25.935373807791219</v>
      </c>
      <c r="GF80" t="e">
        <f>IF(#REF!=FALSE,FALSE,CH80)</f>
        <v>#REF!</v>
      </c>
      <c r="GG80" t="e">
        <f>IF(#REF!=FALSE,FALSE,AN80)</f>
        <v>#REF!</v>
      </c>
      <c r="GH80" s="13" t="e">
        <f>#REF!</f>
        <v>#REF!</v>
      </c>
      <c r="GI80">
        <f t="shared" si="101"/>
        <v>6.2154603722585868</v>
      </c>
      <c r="GJ80">
        <f t="shared" si="102"/>
        <v>74.733000000000004</v>
      </c>
      <c r="GK80" s="13">
        <f t="shared" ref="GK80:GK81" si="263">FX80</f>
        <v>31.793062088915331</v>
      </c>
      <c r="GL80" t="str">
        <f t="shared" ref="GL80:GL81" si="264">L80</f>
        <v>DET</v>
      </c>
      <c r="GQ80" s="1"/>
      <c r="GR80" s="1"/>
      <c r="GS80" s="1"/>
      <c r="GT80" s="1"/>
      <c r="GU80" s="1"/>
      <c r="GV80" s="1"/>
      <c r="HA80" s="1"/>
    </row>
    <row r="81" spans="1:209" s="12" customFormat="1">
      <c r="A81" s="12" t="s">
        <v>13</v>
      </c>
      <c r="B81" s="41" t="s">
        <v>12</v>
      </c>
      <c r="C81" s="41" t="s">
        <v>11</v>
      </c>
      <c r="D81" s="12" t="s">
        <v>14</v>
      </c>
      <c r="E81" s="12" t="s">
        <v>10</v>
      </c>
      <c r="F81" s="12" t="s">
        <v>9</v>
      </c>
      <c r="G81" s="12">
        <v>50</v>
      </c>
      <c r="H81" s="12">
        <v>20</v>
      </c>
      <c r="I81" s="12">
        <v>2.5</v>
      </c>
      <c r="J81" s="41">
        <f t="shared" si="189"/>
        <v>50</v>
      </c>
      <c r="K81" s="12" t="s">
        <v>54</v>
      </c>
      <c r="L81" s="12" t="s">
        <v>53</v>
      </c>
      <c r="U81" s="12" t="s">
        <v>6</v>
      </c>
      <c r="V81" s="48">
        <f t="shared" si="190"/>
        <v>1</v>
      </c>
      <c r="W81" s="12" t="s">
        <v>5</v>
      </c>
      <c r="X81" s="12">
        <v>10</v>
      </c>
      <c r="Y81" s="46" t="s">
        <v>4</v>
      </c>
      <c r="Z81" s="46" t="s">
        <v>3</v>
      </c>
      <c r="AA81" s="46"/>
      <c r="AB81" s="46">
        <v>34493</v>
      </c>
      <c r="AC81" s="46">
        <v>34493</v>
      </c>
      <c r="AD81" s="41">
        <f t="shared" si="191"/>
        <v>27.2</v>
      </c>
      <c r="AE81" s="41">
        <v>27.2</v>
      </c>
      <c r="AF81" s="41"/>
      <c r="AG81" s="46"/>
      <c r="AH81" s="46"/>
      <c r="AI81" s="12" t="b">
        <v>0</v>
      </c>
      <c r="AJ81" s="42">
        <f t="shared" si="192"/>
        <v>13.34</v>
      </c>
      <c r="AK81" s="47">
        <f t="shared" si="193"/>
        <v>13.34</v>
      </c>
      <c r="AL81" s="12">
        <v>667</v>
      </c>
      <c r="AM81" s="34">
        <f t="shared" si="194"/>
        <v>40.54</v>
      </c>
      <c r="AN81" s="41">
        <f t="shared" si="195"/>
        <v>2027</v>
      </c>
      <c r="AQ81" s="46"/>
      <c r="AS81" s="79">
        <f t="shared" si="196"/>
        <v>14946.6</v>
      </c>
      <c r="AT81" s="12">
        <v>74733</v>
      </c>
      <c r="AU81" s="12">
        <v>112000</v>
      </c>
      <c r="AV81" s="12">
        <f t="shared" si="197"/>
        <v>74.733000000000004</v>
      </c>
      <c r="AW81" s="77"/>
      <c r="AX81" s="12">
        <v>20.100000000000001</v>
      </c>
      <c r="AY81" s="41">
        <f t="shared" si="198"/>
        <v>6.6140601874691667</v>
      </c>
      <c r="BA81" s="44">
        <v>220</v>
      </c>
      <c r="BB81" s="64">
        <f t="shared" si="199"/>
        <v>220</v>
      </c>
      <c r="BC81" s="61">
        <f t="shared" si="200"/>
        <v>29.84796</v>
      </c>
      <c r="BD81" s="34">
        <f t="shared" si="201"/>
        <v>13.406700000000001</v>
      </c>
      <c r="BE81" s="34"/>
      <c r="BF81" s="78">
        <f t="shared" si="202"/>
        <v>13.406700000000001</v>
      </c>
      <c r="BG81" s="12">
        <f t="shared" si="203"/>
        <v>16.44126</v>
      </c>
      <c r="BH81" s="42">
        <f t="shared" si="204"/>
        <v>16.02</v>
      </c>
      <c r="BI81" s="41">
        <f t="shared" si="205"/>
        <v>16.02</v>
      </c>
      <c r="BJ81" s="12">
        <v>801</v>
      </c>
      <c r="BL81" s="12">
        <v>10000</v>
      </c>
      <c r="BQ81" s="12">
        <v>8007</v>
      </c>
      <c r="BR81" s="12">
        <f t="shared" si="206"/>
        <v>8.0069999999999997</v>
      </c>
      <c r="BS81" s="77"/>
      <c r="BT81" s="12">
        <v>18.100000000000001</v>
      </c>
      <c r="BV81" s="12">
        <v>50</v>
      </c>
      <c r="BW81" s="61">
        <f t="shared" si="207"/>
        <v>14.89845</v>
      </c>
      <c r="BX81" s="12">
        <f t="shared" si="208"/>
        <v>14.498100000000001</v>
      </c>
      <c r="BZ81" s="41">
        <f t="shared" si="209"/>
        <v>14.498100000000001</v>
      </c>
      <c r="CA81" s="12">
        <f t="shared" si="210"/>
        <v>0.40034999999999998</v>
      </c>
      <c r="CB81" s="76">
        <f t="shared" si="211"/>
        <v>-8.1407057665197264</v>
      </c>
      <c r="CC81" s="75" t="b">
        <f t="shared" si="212"/>
        <v>0</v>
      </c>
      <c r="CD81" s="75" t="b">
        <f t="shared" si="213"/>
        <v>0</v>
      </c>
      <c r="CE81" s="74">
        <f t="shared" ref="CE81:CE98" si="265">(BG81-CA81)/BG81*100</f>
        <v>97.564967648464901</v>
      </c>
      <c r="CF81" s="69" t="b">
        <f t="shared" si="215"/>
        <v>1</v>
      </c>
      <c r="CG81" s="69" t="b">
        <f t="shared" si="216"/>
        <v>1</v>
      </c>
      <c r="CH81" s="57">
        <f t="shared" si="217"/>
        <v>60.483473112974842</v>
      </c>
      <c r="CI81" s="47">
        <f t="shared" ref="CI81:CI98" si="266">IFERROR((AV81-BR81)/AV81*100,-99999)</f>
        <v>89.285857653245543</v>
      </c>
      <c r="CJ81" s="69" t="b">
        <f t="shared" si="219"/>
        <v>1</v>
      </c>
      <c r="CK81" s="69" t="b">
        <f t="shared" si="220"/>
        <v>1</v>
      </c>
      <c r="CL81" s="73">
        <f t="shared" si="221"/>
        <v>-20.089955022488756</v>
      </c>
      <c r="CM81" s="72">
        <f t="shared" si="222"/>
        <v>50.085533483695365</v>
      </c>
      <c r="CN81" s="69" t="b">
        <f t="shared" si="223"/>
        <v>1</v>
      </c>
      <c r="CO81" s="69" t="b">
        <f t="shared" si="224"/>
        <v>1</v>
      </c>
      <c r="CP81" s="12">
        <f t="shared" si="225"/>
        <v>1994</v>
      </c>
      <c r="CQ81" s="46">
        <v>34471</v>
      </c>
      <c r="CR81" s="12">
        <f t="shared" si="226"/>
        <v>22</v>
      </c>
      <c r="CS81" s="12" t="str">
        <f t="shared" si="227"/>
        <v>Desethyl-TBZ</v>
      </c>
      <c r="CT81" s="12">
        <f t="shared" si="228"/>
        <v>20</v>
      </c>
      <c r="CU81" s="34"/>
      <c r="CV81" s="34"/>
      <c r="CW81" s="41">
        <v>0.8</v>
      </c>
      <c r="CX81" s="34">
        <v>78</v>
      </c>
      <c r="CY81" s="34" t="s">
        <v>2</v>
      </c>
      <c r="CZ81" s="71">
        <v>24</v>
      </c>
      <c r="DA81" s="12">
        <f t="shared" si="229"/>
        <v>2027</v>
      </c>
      <c r="DB81" s="64">
        <v>10.9452736318408</v>
      </c>
      <c r="DC81" s="64" t="s">
        <v>52</v>
      </c>
      <c r="DD81" s="60">
        <f t="shared" si="230"/>
        <v>0.62400000000000011</v>
      </c>
      <c r="DE81" s="60">
        <f t="shared" si="231"/>
        <v>43.466707289917913</v>
      </c>
      <c r="DF81" s="12">
        <f t="shared" si="232"/>
        <v>0.97751126492276319</v>
      </c>
      <c r="DG81" s="12">
        <f t="shared" ref="DG81:DG98" si="267">BJ81/(DB81*BR81)</f>
        <v>9.1397867774787933</v>
      </c>
      <c r="DH81" s="23">
        <f t="shared" si="234"/>
        <v>0.90137859681417831</v>
      </c>
      <c r="DI81" s="34">
        <f t="shared" si="235"/>
        <v>73.336448825416028</v>
      </c>
      <c r="DJ81" s="70">
        <f t="shared" si="236"/>
        <v>7.9585260891693554</v>
      </c>
      <c r="DK81" s="70">
        <f t="shared" si="237"/>
        <v>7.1736450789645039</v>
      </c>
      <c r="DL81" s="70">
        <f t="shared" si="238"/>
        <v>0.7848810102048519</v>
      </c>
      <c r="DM81" s="69">
        <f t="shared" si="239"/>
        <v>46.49208918701467</v>
      </c>
      <c r="DN81" s="69">
        <f t="shared" si="240"/>
        <v>95.226150488436701</v>
      </c>
      <c r="DO81" s="34">
        <v>24.79</v>
      </c>
      <c r="DP81" s="34">
        <f t="shared" si="241"/>
        <v>32.661075481006414</v>
      </c>
      <c r="DQ81" s="34">
        <f t="shared" si="242"/>
        <v>46.428645979687687</v>
      </c>
      <c r="DR81" s="7">
        <f t="shared" si="57"/>
        <v>-9.1832726352780671</v>
      </c>
      <c r="DS81" s="68">
        <f t="shared" si="243"/>
        <v>-21.36</v>
      </c>
      <c r="DT81" s="5">
        <f t="shared" si="105"/>
        <v>1484.9731343283581</v>
      </c>
      <c r="DU81" s="5">
        <f t="shared" si="106"/>
        <v>1484.9731343283586</v>
      </c>
      <c r="DV81" s="5">
        <f t="shared" si="107"/>
        <v>713.63339199999996</v>
      </c>
      <c r="DW81" s="5">
        <f t="shared" si="108"/>
        <v>76.348794992479213</v>
      </c>
      <c r="DX81" s="5">
        <f t="shared" si="109"/>
        <v>76.348794992479213</v>
      </c>
      <c r="DY81" s="5">
        <f t="shared" si="110"/>
        <v>62.365606017430046</v>
      </c>
      <c r="DZ81" s="5">
        <f t="shared" si="111"/>
        <v>0</v>
      </c>
      <c r="EA81" s="5">
        <f t="shared" si="112"/>
        <v>0</v>
      </c>
      <c r="EB81" s="5">
        <f t="shared" si="113"/>
        <v>-13.983188975049167</v>
      </c>
      <c r="EC81" s="47">
        <f t="shared" si="59"/>
        <v>76.348794992479213</v>
      </c>
      <c r="ED81" s="64">
        <f t="shared" si="114"/>
        <v>22.788557789837199</v>
      </c>
      <c r="EE81" s="47">
        <f t="shared" si="60"/>
        <v>7.0594022101628013</v>
      </c>
      <c r="EF81" s="47">
        <f t="shared" si="244"/>
        <v>66.725999999999999</v>
      </c>
      <c r="EG81" s="47">
        <f t="shared" si="245"/>
        <v>1226</v>
      </c>
      <c r="EH81" s="47">
        <f t="shared" si="246"/>
        <v>6.6140601874691667E-3</v>
      </c>
      <c r="EI81" s="67">
        <f t="shared" si="247"/>
        <v>6.3631940585434554</v>
      </c>
      <c r="EJ81" s="26">
        <f t="shared" si="115"/>
        <v>0.69620815161934613</v>
      </c>
      <c r="EK81" s="66">
        <f t="shared" si="248"/>
        <v>52.537208570763461</v>
      </c>
      <c r="EL81" s="65">
        <f t="shared" si="249"/>
        <v>95.765481771960623</v>
      </c>
      <c r="EM81" s="62">
        <f t="shared" si="250"/>
        <v>66.761817006375438</v>
      </c>
      <c r="EN81" s="62">
        <f t="shared" si="251"/>
        <v>1</v>
      </c>
      <c r="EO81" s="62">
        <f t="shared" si="252"/>
        <v>34.238182993624562</v>
      </c>
      <c r="EP81" s="62">
        <f t="shared" si="70"/>
        <v>5.8513402732728306</v>
      </c>
      <c r="EQ81" s="63">
        <f t="shared" si="71"/>
        <v>9.9209195646638637</v>
      </c>
      <c r="ER81" s="63">
        <f t="shared" si="253"/>
        <v>8.9425045563030423</v>
      </c>
      <c r="ES81" s="63">
        <f t="shared" si="73"/>
        <v>0.97841500836082185</v>
      </c>
      <c r="ET81" s="62">
        <f t="shared" si="254"/>
        <v>33.29824224974795</v>
      </c>
      <c r="EU81" s="62">
        <f t="shared" si="255"/>
        <v>94.049026605255179</v>
      </c>
      <c r="EX81" s="23"/>
      <c r="EZ81" s="22">
        <f t="shared" si="256"/>
        <v>34493</v>
      </c>
      <c r="FA81" s="64">
        <f t="shared" si="257"/>
        <v>220</v>
      </c>
      <c r="FB81" s="64">
        <f t="shared" si="258"/>
        <v>50</v>
      </c>
      <c r="FC81" s="64" t="b">
        <v>1</v>
      </c>
      <c r="FD81" s="64" t="b">
        <v>1</v>
      </c>
      <c r="FE81" s="20">
        <f t="shared" si="79"/>
        <v>0.81543020425441848</v>
      </c>
      <c r="FF81" s="20">
        <f t="shared" si="80"/>
        <v>10.945273631840795</v>
      </c>
      <c r="FG81" s="20">
        <f t="shared" si="81"/>
        <v>36.213563132259274</v>
      </c>
      <c r="FH81" s="20">
        <f t="shared" si="82"/>
        <v>2.7624309392265189</v>
      </c>
      <c r="FI81" s="59" t="s">
        <v>55</v>
      </c>
      <c r="FJ81" s="58" t="s">
        <v>0</v>
      </c>
      <c r="FK81" s="47">
        <f t="shared" si="259"/>
        <v>50.085533483695365</v>
      </c>
      <c r="FL81" s="57">
        <f t="shared" si="84"/>
        <v>50.085533483695365</v>
      </c>
      <c r="FM81" s="12">
        <f t="shared" si="85"/>
        <v>73.336448825416028</v>
      </c>
      <c r="FN81" s="12">
        <f t="shared" si="86"/>
        <v>76.348794992479213</v>
      </c>
      <c r="FO81" s="1">
        <f t="shared" si="116"/>
        <v>76.348794992479213</v>
      </c>
      <c r="FP81" s="1">
        <f t="shared" si="117"/>
        <v>62.365606017430046</v>
      </c>
      <c r="FQ81" s="12">
        <f t="shared" si="87"/>
        <v>66.761817006375438</v>
      </c>
      <c r="FR81" s="47" t="b">
        <f t="shared" ref="FR81:FR98" si="268">IF(AND(CH81&lt;100,CH81&gt;=0, CD81=TRUE,CK81=TRUE),IFERROR(CB81,FALSE),FALSE)</f>
        <v>0</v>
      </c>
      <c r="FS81" s="57" t="b">
        <f t="shared" si="89"/>
        <v>0</v>
      </c>
      <c r="FT81" s="12" t="b">
        <f t="shared" si="90"/>
        <v>0</v>
      </c>
      <c r="FU81" s="12" t="b">
        <f t="shared" si="91"/>
        <v>0</v>
      </c>
      <c r="FV81" s="12" t="b">
        <f t="shared" si="92"/>
        <v>0</v>
      </c>
      <c r="FW81" s="47">
        <f t="shared" ref="FW81:FW98" si="269">IF(AND(CH81&lt;100,CH81&gt;=0,CG81=TRUE,CK81=TRUE),IFERROR(CE81, FALSE),FALSE)</f>
        <v>97.564967648464901</v>
      </c>
      <c r="FX81" s="56">
        <f t="shared" si="94"/>
        <v>97.564967648464901</v>
      </c>
      <c r="FY81" s="56">
        <f t="shared" si="95"/>
        <v>95.226150488436701</v>
      </c>
      <c r="FZ81" s="56">
        <f t="shared" si="96"/>
        <v>95.765481771960623</v>
      </c>
      <c r="GA81" s="56">
        <f t="shared" si="97"/>
        <v>94.049026605255179</v>
      </c>
      <c r="GC81" s="12">
        <f t="shared" si="98"/>
        <v>60.483473112974842</v>
      </c>
      <c r="GD81" s="12">
        <f t="shared" si="99"/>
        <v>89.285857653245543</v>
      </c>
      <c r="GE81" s="57">
        <f t="shared" si="262"/>
        <v>50.085533483695365</v>
      </c>
      <c r="GF81" s="12" t="e">
        <f>IF(#REF!=FALSE,FALSE,CH81)</f>
        <v>#REF!</v>
      </c>
      <c r="GG81" s="12" t="e">
        <f>IF(#REF!=FALSE,FALSE,AN81)</f>
        <v>#REF!</v>
      </c>
      <c r="GH81" s="56" t="e">
        <f>#REF!</f>
        <v>#REF!</v>
      </c>
      <c r="GI81" s="12">
        <f t="shared" si="101"/>
        <v>89.285857653245543</v>
      </c>
      <c r="GJ81" s="12">
        <f t="shared" si="102"/>
        <v>74.733000000000004</v>
      </c>
      <c r="GK81" s="56">
        <f t="shared" si="263"/>
        <v>97.564967648464901</v>
      </c>
      <c r="GL81" s="12" t="str">
        <f t="shared" si="264"/>
        <v>DET</v>
      </c>
    </row>
    <row r="82" spans="1:209">
      <c r="A82" t="s">
        <v>13</v>
      </c>
      <c r="B82" s="21" t="s">
        <v>12</v>
      </c>
      <c r="C82" s="21" t="s">
        <v>11</v>
      </c>
      <c r="D82" t="s">
        <v>18</v>
      </c>
      <c r="E82" t="s">
        <v>10</v>
      </c>
      <c r="F82" t="s">
        <v>9</v>
      </c>
      <c r="G82">
        <v>50</v>
      </c>
      <c r="H82">
        <v>5</v>
      </c>
      <c r="I82">
        <v>2.5</v>
      </c>
      <c r="J82" s="21">
        <f t="shared" ref="J82:J114" si="270">H82*I82</f>
        <v>12.5</v>
      </c>
      <c r="K82" t="s">
        <v>35</v>
      </c>
      <c r="L82" t="s">
        <v>34</v>
      </c>
      <c r="U82" t="s">
        <v>6</v>
      </c>
      <c r="V82" s="53">
        <f t="shared" si="190"/>
        <v>4</v>
      </c>
      <c r="W82" t="s">
        <v>5</v>
      </c>
      <c r="X82">
        <v>10</v>
      </c>
      <c r="Y82" s="52" t="s">
        <v>4</v>
      </c>
      <c r="Z82" s="52" t="s">
        <v>3</v>
      </c>
      <c r="AA82" s="52"/>
      <c r="AB82" s="52">
        <v>34493</v>
      </c>
      <c r="AC82" s="52">
        <v>34493</v>
      </c>
      <c r="AD82" s="21">
        <f t="shared" ref="AD82:AD97" si="271">AE82</f>
        <v>27.2</v>
      </c>
      <c r="AE82" s="21">
        <v>27.2</v>
      </c>
      <c r="AF82" s="21"/>
      <c r="AG82" s="52"/>
      <c r="AH82" s="52"/>
      <c r="AI82" t="b">
        <v>0</v>
      </c>
      <c r="AJ82" s="50">
        <f t="shared" ref="AJ82:AJ97" si="272">AL82/G82</f>
        <v>13.34</v>
      </c>
      <c r="AK82" s="16">
        <f t="shared" ref="AK82:AK97" si="273">AL82/J82</f>
        <v>53.36</v>
      </c>
      <c r="AL82">
        <v>667</v>
      </c>
      <c r="AM82" s="7">
        <f t="shared" si="194"/>
        <v>80.56</v>
      </c>
      <c r="AN82" s="21">
        <f t="shared" ref="AN82:AN98" si="274">IF(Z82="natural",AL82+AD82*J82,AL82)</f>
        <v>1007</v>
      </c>
      <c r="AQ82" s="52"/>
      <c r="AS82" s="45">
        <f t="shared" ref="AS82:AS97" si="275">AV82/(G82/10000)</f>
        <v>14946.6</v>
      </c>
      <c r="AT82">
        <v>74733</v>
      </c>
      <c r="AU82">
        <v>112000</v>
      </c>
      <c r="AV82">
        <f t="shared" ref="AV82:AV97" si="276">IFERROR(AT82/1000,"n.a.")</f>
        <v>74.733000000000004</v>
      </c>
      <c r="AW82" s="55"/>
      <c r="AX82">
        <v>98.3</v>
      </c>
      <c r="AY82" s="21">
        <f t="shared" ref="AY82:AY114" si="277">AX82*AL82/AN82</f>
        <v>65.110327706057589</v>
      </c>
      <c r="BA82" s="51">
        <v>1560</v>
      </c>
      <c r="BB82" s="8">
        <f t="shared" si="199"/>
        <v>1560</v>
      </c>
      <c r="BC82" s="24">
        <f t="shared" si="200"/>
        <v>182.14958000000001</v>
      </c>
      <c r="BD82" s="7">
        <f t="shared" ref="BD82:BD97" si="278">AX82/1000*AL82</f>
        <v>65.566100000000006</v>
      </c>
      <c r="BE82" s="7"/>
      <c r="BF82" s="43">
        <f t="shared" ref="BF82:BF97" si="279">BD82</f>
        <v>65.566100000000006</v>
      </c>
      <c r="BG82">
        <f t="shared" si="203"/>
        <v>116.58348000000001</v>
      </c>
      <c r="BH82" s="50">
        <f t="shared" ref="BH82:BH97" si="280">BJ82/G82</f>
        <v>12.74</v>
      </c>
      <c r="BI82" s="21">
        <f t="shared" ref="BI82:BI98" si="281">BH82*G82/J82</f>
        <v>50.96</v>
      </c>
      <c r="BJ82">
        <v>637</v>
      </c>
      <c r="BL82">
        <v>110000</v>
      </c>
      <c r="BQ82">
        <v>70088</v>
      </c>
      <c r="BR82">
        <f t="shared" ref="BR82:BR97" si="282">IFERROR(BQ82/1000,"n.a.")</f>
        <v>70.087999999999994</v>
      </c>
      <c r="BS82" s="54"/>
      <c r="BT82">
        <v>88.5</v>
      </c>
      <c r="BV82">
        <v>1480</v>
      </c>
      <c r="BW82" s="24">
        <f t="shared" si="207"/>
        <v>160.10473999999999</v>
      </c>
      <c r="BX82">
        <f t="shared" ref="BX82:BX97" si="283">BT82/1000*BJ82</f>
        <v>56.374499999999998</v>
      </c>
      <c r="BZ82" s="21">
        <f t="shared" ref="BZ82:BZ97" si="284">BX82</f>
        <v>56.374499999999998</v>
      </c>
      <c r="CA82">
        <f t="shared" si="210"/>
        <v>103.73023999999999</v>
      </c>
      <c r="CB82" s="40">
        <f t="shared" ref="CB82:CB114" si="285">IFERROR((BF82-BZ82)/BF82*100,-99999)</f>
        <v>14.018829852622023</v>
      </c>
      <c r="CC82" s="39" t="b">
        <f t="shared" ref="CC82:CC114" si="286">AND(CB82&gt;=0,TRUE)</f>
        <v>1</v>
      </c>
      <c r="CD82" s="39" t="b">
        <f t="shared" ref="CD82:CD114" si="287">IFERROR(CC82,FALSE)</f>
        <v>1</v>
      </c>
      <c r="CE82" s="38">
        <f t="shared" si="265"/>
        <v>11.024923942911991</v>
      </c>
      <c r="CF82" s="35" t="b">
        <f t="shared" ref="CF82:CF114" si="288">AND(CE82&gt;=0,TRUE)</f>
        <v>1</v>
      </c>
      <c r="CG82" s="35" t="b">
        <f t="shared" ref="CG82:CG114" si="289">IFERROR(CF82,FALSE)</f>
        <v>1</v>
      </c>
      <c r="CH82" s="17">
        <f t="shared" ref="CH82:CH114" si="290">(AN82-BJ82)/AN82*100</f>
        <v>36.742800397219469</v>
      </c>
      <c r="CI82" s="16">
        <f t="shared" si="266"/>
        <v>6.2154603722585868</v>
      </c>
      <c r="CJ82" s="35" t="b">
        <f t="shared" ref="CJ82:CJ114" si="291">AND(CI82&gt;=0,TRUE)</f>
        <v>1</v>
      </c>
      <c r="CK82" s="35" t="b">
        <f t="shared" ref="CK82:CK114" si="292">IFERROR(CJ82,FALSE)</f>
        <v>1</v>
      </c>
      <c r="CL82" s="37">
        <f t="shared" ref="CL82:CL114" si="293">(AL82-BJ82)/AL82*100</f>
        <v>4.497751124437781</v>
      </c>
      <c r="CM82" s="36">
        <f t="shared" si="222"/>
        <v>12.102602707071858</v>
      </c>
      <c r="CN82" s="35" t="b">
        <f t="shared" ref="CN82:CN114" si="294">AND(CM82&gt;=0,TRUE)</f>
        <v>1</v>
      </c>
      <c r="CO82" s="35" t="b">
        <f t="shared" ref="CO82:CO114" si="295">IFERROR(CN82,FALSE)</f>
        <v>1</v>
      </c>
      <c r="CP82">
        <f t="shared" si="225"/>
        <v>1994</v>
      </c>
      <c r="CQ82" s="52">
        <v>34471</v>
      </c>
      <c r="CR82">
        <f t="shared" ref="CR82:CR97" si="296">AC82-CQ82</f>
        <v>22</v>
      </c>
      <c r="CS82" t="str">
        <f t="shared" ref="CS82:CS107" si="297">K82</f>
        <v>Terbuthylazin</v>
      </c>
      <c r="CT82">
        <f t="shared" ref="CT82:CT107" si="298">H82</f>
        <v>5</v>
      </c>
      <c r="CU82" s="7"/>
      <c r="CV82" s="7"/>
      <c r="CW82" s="21">
        <v>0.8</v>
      </c>
      <c r="CX82" s="21">
        <v>231</v>
      </c>
      <c r="CY82" s="7" t="s">
        <v>2</v>
      </c>
      <c r="CZ82" s="33">
        <v>24</v>
      </c>
      <c r="DA82" s="1">
        <f t="shared" ref="DA82:DA114" si="299">AN82</f>
        <v>1007</v>
      </c>
      <c r="DB82" s="3">
        <v>12.3239436619718</v>
      </c>
      <c r="DC82" s="3" t="s">
        <v>1</v>
      </c>
      <c r="DD82" s="32">
        <f t="shared" ref="DD82:DD114" si="300">CX82*CW82/100</f>
        <v>1.8480000000000001</v>
      </c>
      <c r="DE82" s="32">
        <f t="shared" ref="DE82:DE114" si="301">DA82/(DD82*AV82)</f>
        <v>7.2914698983503916</v>
      </c>
      <c r="DF82">
        <f t="shared" si="232"/>
        <v>0.87939412284437612</v>
      </c>
      <c r="DG82">
        <f t="shared" si="267"/>
        <v>0.73747289122246507</v>
      </c>
      <c r="DH82" s="2">
        <f t="shared" si="234"/>
        <v>0.42445145184601296</v>
      </c>
      <c r="DI82" s="7">
        <f t="shared" ref="DI82:DI114" si="302">SUM(DO82:DS82)</f>
        <v>21.384301631025522</v>
      </c>
      <c r="DJ82" s="31">
        <f t="shared" si="236"/>
        <v>143.19816439315386</v>
      </c>
      <c r="DK82" s="31">
        <f t="shared" ref="DK82:DK114" si="303">DJ82-DL82</f>
        <v>60.780668778358205</v>
      </c>
      <c r="DL82" s="31">
        <f t="shared" ref="DL82:DL114" si="304">DJ82*BR82 *DB82 / (BJ82+BR82*DB82)</f>
        <v>82.417495614795655</v>
      </c>
      <c r="DM82" s="30">
        <f t="shared" si="239"/>
        <v>7.2986363709932434</v>
      </c>
      <c r="DN82" s="30">
        <f t="shared" si="240"/>
        <v>29.306025506533473</v>
      </c>
      <c r="DO82" s="7">
        <v>24.79</v>
      </c>
      <c r="DP82" s="7">
        <f t="shared" ref="DP82:DP114" si="305">0.54*CH82</f>
        <v>19.841112214498516</v>
      </c>
      <c r="DQ82" s="7">
        <f t="shared" ref="DQ82:DQ114" si="306">0.52*CI82</f>
        <v>3.2320393935744653</v>
      </c>
      <c r="DR82" s="7">
        <f t="shared" si="57"/>
        <v>-5.1188499770474589</v>
      </c>
      <c r="DS82" s="6">
        <f t="shared" ref="DS82:DS114" si="307">-0.89*CZ82</f>
        <v>-21.36</v>
      </c>
      <c r="DT82" s="5">
        <f t="shared" si="105"/>
        <v>1852.9967446592066</v>
      </c>
      <c r="DU82" s="5">
        <f t="shared" si="106"/>
        <v>1588.0052816901384</v>
      </c>
      <c r="DV82" s="5">
        <f t="shared" si="107"/>
        <v>805.106584</v>
      </c>
      <c r="DW82" s="5">
        <f t="shared" si="108"/>
        <v>17.204004121909769</v>
      </c>
      <c r="DX82" s="5">
        <f t="shared" si="109"/>
        <v>19.037669486687726</v>
      </c>
      <c r="DY82" s="5">
        <f t="shared" si="110"/>
        <v>31.506193551319146</v>
      </c>
      <c r="DZ82" s="5">
        <f t="shared" si="111"/>
        <v>0</v>
      </c>
      <c r="EA82" s="5">
        <f t="shared" si="112"/>
        <v>1.8336653647779642</v>
      </c>
      <c r="EB82" s="5">
        <f t="shared" si="113"/>
        <v>14.302189429409385</v>
      </c>
      <c r="EC82" s="16">
        <f t="shared" si="59"/>
        <v>17.204004121909762</v>
      </c>
      <c r="ED82" s="3">
        <f t="shared" si="114"/>
        <v>31.337021251241321</v>
      </c>
      <c r="EE82" s="16">
        <f t="shared" si="60"/>
        <v>150.8125587487587</v>
      </c>
      <c r="EF82" s="16">
        <f t="shared" ref="EF82:EF114" si="308">AV82-BR82</f>
        <v>4.6450000000000102</v>
      </c>
      <c r="EG82" s="16">
        <f t="shared" ref="EG82:EG114" si="309">AN82-BJ82</f>
        <v>370</v>
      </c>
      <c r="EH82" s="16">
        <f t="shared" ref="EH82:EH114" si="310">AY82/1000</f>
        <v>6.5110327706057583E-2</v>
      </c>
      <c r="EI82" s="20">
        <f t="shared" ref="EI82:EI114" si="311">EE82-EJ82</f>
        <v>54.918316546672997</v>
      </c>
      <c r="EJ82" s="26">
        <f t="shared" si="115"/>
        <v>95.894242202085707</v>
      </c>
      <c r="EK82" s="29">
        <f t="shared" ref="EK82:EK114" si="312">($BF82-EI82)/$BF82*100</f>
        <v>16.239769413350814</v>
      </c>
      <c r="EL82" s="28">
        <f t="shared" ref="EL82:EL114" si="313">($BG82-EJ82)/$BG82*100</f>
        <v>17.746286007172117</v>
      </c>
      <c r="EM82" s="25">
        <f t="shared" ref="EM82:EM114" si="314">101 - EO82</f>
        <v>72.105120719576618</v>
      </c>
      <c r="EN82" s="25">
        <f t="shared" ref="EN82:EN114" si="315">IF(CX82&lt;=0, FALSE, IF(CX82&lt;=9000,1,IF(CX82&gt;9000,2,FALSE)))</f>
        <v>1</v>
      </c>
      <c r="EO82" s="25">
        <f t="shared" ref="EO82:EO114" si="316">POWER(EP82,2)</f>
        <v>28.894879280423382</v>
      </c>
      <c r="EP82" s="25">
        <f t="shared" si="70"/>
        <v>5.3753957324482986</v>
      </c>
      <c r="EQ82" s="26">
        <f t="shared" si="71"/>
        <v>50.810405450798214</v>
      </c>
      <c r="ER82" s="26">
        <f t="shared" ref="ER82:ER114" si="317">EQ82-ES82</f>
        <v>21.566550362475876</v>
      </c>
      <c r="ES82" s="26">
        <f t="shared" si="73"/>
        <v>29.243855088322338</v>
      </c>
      <c r="ET82" s="25">
        <f t="shared" ref="ET82:ET114" si="318">($BF82-ER82)/$BF82*100</f>
        <v>67.107163057622955</v>
      </c>
      <c r="EU82" s="25">
        <f t="shared" ref="EU82:EU114" si="319">($BG82-ES82)/$BG82*100</f>
        <v>74.915952853421146</v>
      </c>
      <c r="EV82" s="1"/>
      <c r="EW82" s="1"/>
      <c r="EX82" s="2"/>
      <c r="EY82" s="1"/>
      <c r="EZ82" s="22">
        <f t="shared" ref="EZ82:EZ114" si="320">AC82</f>
        <v>34493</v>
      </c>
      <c r="FA82" s="3">
        <f t="shared" ref="FA82:FA114" si="321">IFERROR(BA82,FALSE)</f>
        <v>1560</v>
      </c>
      <c r="FB82" s="3">
        <f t="shared" ref="FB82:FB114" si="322">IFERROR(BV82,FALSE)</f>
        <v>1480</v>
      </c>
      <c r="FC82" s="3" t="b">
        <v>1</v>
      </c>
      <c r="FD82" s="3" t="b">
        <v>1</v>
      </c>
      <c r="FE82" s="20">
        <f t="shared" si="79"/>
        <v>0.56239614737868526</v>
      </c>
      <c r="FF82" s="20">
        <f t="shared" si="80"/>
        <v>15.869786368260428</v>
      </c>
      <c r="FG82" s="20">
        <f t="shared" si="81"/>
        <v>0.54347218323219926</v>
      </c>
      <c r="FH82" s="20">
        <f t="shared" si="82"/>
        <v>16.72316384180791</v>
      </c>
      <c r="FI82" s="19" t="s">
        <v>51</v>
      </c>
      <c r="FJ82" s="18" t="s">
        <v>0</v>
      </c>
      <c r="FK82" s="16">
        <f t="shared" ref="FK82:FK114" si="323">IF(AND(CH82&lt;100,CH82&gt;=0,CO82=TRUE,CK82=TRUE),IFERROR(CM82,FALSE),FALSE)</f>
        <v>12.102602707071858</v>
      </c>
      <c r="FL82" s="17">
        <f t="shared" si="84"/>
        <v>12.102602707071858</v>
      </c>
      <c r="FM82" s="1">
        <f t="shared" si="85"/>
        <v>21.384301631025522</v>
      </c>
      <c r="FN82" s="1">
        <f t="shared" si="86"/>
        <v>17.204004121909762</v>
      </c>
      <c r="FO82" s="1">
        <f t="shared" si="116"/>
        <v>17.204004121909769</v>
      </c>
      <c r="FP82" s="1">
        <f t="shared" si="117"/>
        <v>31.506193551319146</v>
      </c>
      <c r="FQ82" s="1">
        <f t="shared" si="87"/>
        <v>72.105120719576618</v>
      </c>
      <c r="FR82" s="16">
        <f t="shared" si="268"/>
        <v>14.018829852622023</v>
      </c>
      <c r="FS82" s="17">
        <f t="shared" si="89"/>
        <v>14.018829852622023</v>
      </c>
      <c r="FT82" s="1">
        <f t="shared" si="90"/>
        <v>7.2986363709932434</v>
      </c>
      <c r="FU82" s="1">
        <f t="shared" si="91"/>
        <v>16.239769413350814</v>
      </c>
      <c r="FV82" s="1">
        <f t="shared" si="92"/>
        <v>67.107163057622955</v>
      </c>
      <c r="FW82" s="16">
        <f t="shared" si="269"/>
        <v>11.024923942911991</v>
      </c>
      <c r="FX82" s="15">
        <f t="shared" si="94"/>
        <v>11.024923942911991</v>
      </c>
      <c r="FY82" s="15">
        <f t="shared" si="95"/>
        <v>29.306025506533473</v>
      </c>
      <c r="FZ82" s="15">
        <f t="shared" si="96"/>
        <v>17.746286007172117</v>
      </c>
      <c r="GA82" s="15">
        <f t="shared" si="97"/>
        <v>74.915952853421146</v>
      </c>
      <c r="GC82">
        <f t="shared" si="98"/>
        <v>36.742800397219469</v>
      </c>
      <c r="GD82">
        <f t="shared" si="99"/>
        <v>6.2154603722585868</v>
      </c>
      <c r="GE82" s="14">
        <f t="shared" ref="GE82:GE114" si="324">FL82</f>
        <v>12.102602707071858</v>
      </c>
      <c r="GF82" t="e">
        <f>IF(#REF!=FALSE,FALSE,CH82)</f>
        <v>#REF!</v>
      </c>
      <c r="GG82" t="e">
        <f>IF(#REF!=FALSE,FALSE,AN82)</f>
        <v>#REF!</v>
      </c>
      <c r="GH82" s="13" t="e">
        <f>#REF!</f>
        <v>#REF!</v>
      </c>
      <c r="GI82">
        <f t="shared" si="101"/>
        <v>6.2154603722585868</v>
      </c>
      <c r="GJ82">
        <f t="shared" si="102"/>
        <v>74.733000000000004</v>
      </c>
      <c r="GK82" s="13">
        <f t="shared" ref="GK82:GK114" si="325">FX82</f>
        <v>11.024923942911991</v>
      </c>
      <c r="GL82" t="str">
        <f t="shared" ref="GL82:GL114" si="326">L82</f>
        <v>TBZ</v>
      </c>
      <c r="GQ82" s="1"/>
      <c r="GR82" s="1"/>
      <c r="GS82" s="1"/>
      <c r="GT82" s="1"/>
      <c r="GU82" s="1"/>
      <c r="GV82" s="1"/>
      <c r="HA82" s="1"/>
    </row>
    <row r="83" spans="1:209">
      <c r="A83" t="s">
        <v>13</v>
      </c>
      <c r="B83" s="21" t="s">
        <v>12</v>
      </c>
      <c r="C83" s="21" t="s">
        <v>11</v>
      </c>
      <c r="D83" t="s">
        <v>16</v>
      </c>
      <c r="E83" t="s">
        <v>10</v>
      </c>
      <c r="F83" t="s">
        <v>9</v>
      </c>
      <c r="G83">
        <v>50</v>
      </c>
      <c r="H83">
        <v>10</v>
      </c>
      <c r="I83">
        <v>2.5</v>
      </c>
      <c r="J83" s="21">
        <f t="shared" si="270"/>
        <v>25</v>
      </c>
      <c r="K83" t="s">
        <v>35</v>
      </c>
      <c r="L83" t="s">
        <v>34</v>
      </c>
      <c r="U83" t="s">
        <v>6</v>
      </c>
      <c r="V83" s="53">
        <f t="shared" si="190"/>
        <v>2</v>
      </c>
      <c r="W83" t="s">
        <v>5</v>
      </c>
      <c r="X83">
        <v>10</v>
      </c>
      <c r="Y83" s="52" t="s">
        <v>4</v>
      </c>
      <c r="Z83" s="52" t="s">
        <v>3</v>
      </c>
      <c r="AA83" s="52"/>
      <c r="AB83" s="52">
        <v>34493</v>
      </c>
      <c r="AC83" s="52">
        <v>34493</v>
      </c>
      <c r="AD83" s="21">
        <f t="shared" si="271"/>
        <v>27.2</v>
      </c>
      <c r="AE83" s="21">
        <v>27.2</v>
      </c>
      <c r="AF83" s="21"/>
      <c r="AG83" s="52"/>
      <c r="AH83" s="52"/>
      <c r="AI83" t="b">
        <v>0</v>
      </c>
      <c r="AJ83" s="50">
        <f t="shared" si="272"/>
        <v>13.34</v>
      </c>
      <c r="AK83" s="16">
        <f t="shared" si="273"/>
        <v>26.68</v>
      </c>
      <c r="AL83">
        <v>667</v>
      </c>
      <c r="AM83" s="7">
        <f t="shared" si="194"/>
        <v>53.88</v>
      </c>
      <c r="AN83" s="21">
        <f t="shared" si="274"/>
        <v>1347</v>
      </c>
      <c r="AQ83" s="52"/>
      <c r="AS83" s="45">
        <f t="shared" si="275"/>
        <v>14946.6</v>
      </c>
      <c r="AT83">
        <v>74733</v>
      </c>
      <c r="AU83">
        <v>112000</v>
      </c>
      <c r="AV83">
        <f t="shared" si="276"/>
        <v>74.733000000000004</v>
      </c>
      <c r="AW83" s="55"/>
      <c r="AX83">
        <v>98.3</v>
      </c>
      <c r="AY83" s="21">
        <f t="shared" si="277"/>
        <v>48.675649591685222</v>
      </c>
      <c r="BA83" s="51">
        <v>1560</v>
      </c>
      <c r="BB83" s="8">
        <f t="shared" si="199"/>
        <v>1560</v>
      </c>
      <c r="BC83" s="24">
        <f t="shared" si="200"/>
        <v>182.14958000000001</v>
      </c>
      <c r="BD83" s="7">
        <f t="shared" si="278"/>
        <v>65.566100000000006</v>
      </c>
      <c r="BE83" s="7"/>
      <c r="BF83" s="43">
        <f t="shared" si="279"/>
        <v>65.566100000000006</v>
      </c>
      <c r="BG83">
        <f t="shared" si="203"/>
        <v>116.58348000000001</v>
      </c>
      <c r="BH83" s="50">
        <f t="shared" si="280"/>
        <v>17</v>
      </c>
      <c r="BI83" s="21">
        <f t="shared" si="281"/>
        <v>34</v>
      </c>
      <c r="BJ83">
        <v>850</v>
      </c>
      <c r="BL83">
        <v>20000</v>
      </c>
      <c r="BQ83">
        <v>17001</v>
      </c>
      <c r="BR83">
        <f t="shared" si="282"/>
        <v>17.001000000000001</v>
      </c>
      <c r="BS83" s="54"/>
      <c r="BT83">
        <v>83.7</v>
      </c>
      <c r="BV83">
        <v>660</v>
      </c>
      <c r="BW83" s="24">
        <f t="shared" si="207"/>
        <v>82.365659999999991</v>
      </c>
      <c r="BX83">
        <f t="shared" si="283"/>
        <v>71.144999999999996</v>
      </c>
      <c r="BZ83" s="21">
        <f t="shared" si="284"/>
        <v>71.144999999999996</v>
      </c>
      <c r="CA83">
        <f t="shared" si="210"/>
        <v>11.220660000000001</v>
      </c>
      <c r="CB83" s="40">
        <f t="shared" si="285"/>
        <v>-8.5088178189643582</v>
      </c>
      <c r="CC83" s="39" t="b">
        <f t="shared" si="286"/>
        <v>0</v>
      </c>
      <c r="CD83" s="39" t="b">
        <f t="shared" si="287"/>
        <v>0</v>
      </c>
      <c r="CE83" s="38">
        <f t="shared" si="265"/>
        <v>90.375428834342571</v>
      </c>
      <c r="CF83" s="35" t="b">
        <f t="shared" si="288"/>
        <v>1</v>
      </c>
      <c r="CG83" s="35" t="b">
        <f t="shared" si="289"/>
        <v>1</v>
      </c>
      <c r="CH83" s="17">
        <f t="shared" si="290"/>
        <v>36.896807720861176</v>
      </c>
      <c r="CI83" s="16">
        <f t="shared" si="266"/>
        <v>77.251013608446058</v>
      </c>
      <c r="CJ83" s="35" t="b">
        <f t="shared" si="291"/>
        <v>1</v>
      </c>
      <c r="CK83" s="35" t="b">
        <f t="shared" si="292"/>
        <v>1</v>
      </c>
      <c r="CL83" s="37">
        <f t="shared" si="293"/>
        <v>-27.436281859070466</v>
      </c>
      <c r="CM83" s="36">
        <f t="shared" si="222"/>
        <v>54.781306660163601</v>
      </c>
      <c r="CN83" s="35" t="b">
        <f t="shared" si="294"/>
        <v>1</v>
      </c>
      <c r="CO83" s="35" t="b">
        <f t="shared" si="295"/>
        <v>1</v>
      </c>
      <c r="CP83">
        <f t="shared" si="225"/>
        <v>1994</v>
      </c>
      <c r="CQ83" s="52">
        <v>34471</v>
      </c>
      <c r="CR83">
        <f t="shared" si="296"/>
        <v>22</v>
      </c>
      <c r="CS83" t="str">
        <f t="shared" si="297"/>
        <v>Terbuthylazin</v>
      </c>
      <c r="CT83">
        <f t="shared" si="298"/>
        <v>10</v>
      </c>
      <c r="CU83" s="7"/>
      <c r="CV83" s="7"/>
      <c r="CW83" s="21">
        <v>0.8</v>
      </c>
      <c r="CX83" s="21">
        <v>231</v>
      </c>
      <c r="CY83" s="7" t="s">
        <v>2</v>
      </c>
      <c r="CZ83" s="33">
        <v>24</v>
      </c>
      <c r="DA83" s="1">
        <f t="shared" si="299"/>
        <v>1347</v>
      </c>
      <c r="DB83" s="3">
        <v>12.3239436619718</v>
      </c>
      <c r="DC83" s="3" t="s">
        <v>1</v>
      </c>
      <c r="DD83" s="32">
        <f t="shared" si="300"/>
        <v>1.8480000000000001</v>
      </c>
      <c r="DE83" s="32">
        <f t="shared" si="301"/>
        <v>9.753336596899679</v>
      </c>
      <c r="DF83">
        <f t="shared" si="232"/>
        <v>0.90700560788841</v>
      </c>
      <c r="DG83">
        <f t="shared" si="267"/>
        <v>4.0569042157184132</v>
      </c>
      <c r="DH83" s="2">
        <f t="shared" si="234"/>
        <v>0.80225055541062207</v>
      </c>
      <c r="DI83" s="7">
        <f t="shared" si="302"/>
        <v>57.776780313852854</v>
      </c>
      <c r="DJ83" s="31">
        <f t="shared" si="236"/>
        <v>76.909417320794361</v>
      </c>
      <c r="DK83" s="31">
        <f t="shared" si="303"/>
        <v>61.700622761914595</v>
      </c>
      <c r="DL83" s="31">
        <f t="shared" si="304"/>
        <v>15.208794558879768</v>
      </c>
      <c r="DM83" s="30">
        <f t="shared" si="239"/>
        <v>5.8955424191547321</v>
      </c>
      <c r="DN83" s="30">
        <f t="shared" si="240"/>
        <v>86.954588627068105</v>
      </c>
      <c r="DO83" s="7">
        <v>24.79</v>
      </c>
      <c r="DP83" s="7">
        <f t="shared" si="305"/>
        <v>19.924276169265035</v>
      </c>
      <c r="DQ83" s="7">
        <f t="shared" si="306"/>
        <v>40.170527076391949</v>
      </c>
      <c r="DR83" s="7">
        <f t="shared" si="57"/>
        <v>-5.7480229318041296</v>
      </c>
      <c r="DS83" s="6">
        <f t="shared" si="307"/>
        <v>-21.36</v>
      </c>
      <c r="DT83" s="5">
        <f t="shared" si="105"/>
        <v>1852.9967446592066</v>
      </c>
      <c r="DU83" s="5">
        <f t="shared" si="106"/>
        <v>1588.0052816901384</v>
      </c>
      <c r="DV83" s="5">
        <f t="shared" si="107"/>
        <v>805.106584</v>
      </c>
      <c r="DW83" s="5">
        <f t="shared" si="108"/>
        <v>62.72521619158691</v>
      </c>
      <c r="DX83" s="5">
        <f t="shared" si="109"/>
        <v>60.301287031736116</v>
      </c>
      <c r="DY83" s="5">
        <f t="shared" si="110"/>
        <v>43.819098055984099</v>
      </c>
      <c r="DZ83" s="5">
        <f t="shared" si="111"/>
        <v>0</v>
      </c>
      <c r="EA83" s="5">
        <f t="shared" si="112"/>
        <v>-2.4239291598507933</v>
      </c>
      <c r="EB83" s="5">
        <f t="shared" si="113"/>
        <v>-18.90611813560281</v>
      </c>
      <c r="EC83" s="16">
        <f t="shared" si="59"/>
        <v>62.72521619158691</v>
      </c>
      <c r="ED83" s="3">
        <f t="shared" si="114"/>
        <v>114.25371784706755</v>
      </c>
      <c r="EE83" s="16">
        <f t="shared" si="60"/>
        <v>67.895862152932466</v>
      </c>
      <c r="EF83" s="16">
        <f t="shared" si="308"/>
        <v>57.731999999999999</v>
      </c>
      <c r="EG83" s="16">
        <f t="shared" si="309"/>
        <v>497</v>
      </c>
      <c r="EH83" s="16">
        <f t="shared" si="310"/>
        <v>4.8675649591685223E-2</v>
      </c>
      <c r="EI83" s="20">
        <f t="shared" si="311"/>
        <v>51.537209758265263</v>
      </c>
      <c r="EJ83" s="26">
        <f t="shared" si="115"/>
        <v>16.3586523946672</v>
      </c>
      <c r="EK83" s="29">
        <f t="shared" si="312"/>
        <v>21.396560481307784</v>
      </c>
      <c r="EL83" s="28">
        <f t="shared" si="313"/>
        <v>85.968292939387979</v>
      </c>
      <c r="EM83" s="25">
        <f t="shared" si="314"/>
        <v>54.895402978370186</v>
      </c>
      <c r="EN83" s="25">
        <f t="shared" si="315"/>
        <v>1</v>
      </c>
      <c r="EO83" s="25">
        <f t="shared" si="316"/>
        <v>46.104597021629814</v>
      </c>
      <c r="EP83" s="25">
        <f t="shared" si="70"/>
        <v>6.7900365994322751</v>
      </c>
      <c r="EQ83" s="26">
        <f t="shared" si="71"/>
        <v>82.157834035591222</v>
      </c>
      <c r="ER83" s="26">
        <f t="shared" si="317"/>
        <v>65.911167986386772</v>
      </c>
      <c r="ES83" s="26">
        <f t="shared" si="73"/>
        <v>16.246666049204457</v>
      </c>
      <c r="ET83" s="25">
        <f t="shared" si="318"/>
        <v>-0.52629024204088126</v>
      </c>
      <c r="EU83" s="25">
        <f t="shared" si="319"/>
        <v>86.064349726732758</v>
      </c>
      <c r="EV83" s="1"/>
      <c r="EW83" s="1"/>
      <c r="EX83" s="2"/>
      <c r="EY83" s="1"/>
      <c r="EZ83" s="22">
        <f t="shared" si="320"/>
        <v>34493</v>
      </c>
      <c r="FA83" s="3">
        <f t="shared" si="321"/>
        <v>1560</v>
      </c>
      <c r="FB83" s="3">
        <f t="shared" si="322"/>
        <v>660</v>
      </c>
      <c r="FC83" s="3" t="b">
        <v>1</v>
      </c>
      <c r="FD83" s="3" t="b">
        <v>1</v>
      </c>
      <c r="FE83" s="20">
        <f t="shared" si="79"/>
        <v>0.56239614737868526</v>
      </c>
      <c r="FF83" s="20">
        <f t="shared" si="80"/>
        <v>15.869786368260428</v>
      </c>
      <c r="FG83" s="20">
        <f t="shared" si="81"/>
        <v>6.3405361181962556</v>
      </c>
      <c r="FH83" s="20">
        <f t="shared" si="82"/>
        <v>7.8853046594982077</v>
      </c>
      <c r="FI83" s="19" t="s">
        <v>50</v>
      </c>
      <c r="FJ83" s="18" t="s">
        <v>0</v>
      </c>
      <c r="FK83" s="16">
        <f t="shared" si="323"/>
        <v>54.781306660163601</v>
      </c>
      <c r="FL83" s="17">
        <f t="shared" si="84"/>
        <v>54.781306660163601</v>
      </c>
      <c r="FM83" s="1">
        <f t="shared" si="85"/>
        <v>57.776780313852854</v>
      </c>
      <c r="FN83" s="1">
        <f t="shared" si="86"/>
        <v>62.72521619158691</v>
      </c>
      <c r="FO83" s="1">
        <f t="shared" si="116"/>
        <v>62.72521619158691</v>
      </c>
      <c r="FP83" s="1">
        <f t="shared" si="117"/>
        <v>43.819098055984099</v>
      </c>
      <c r="FQ83" s="1">
        <f t="shared" si="87"/>
        <v>54.895402978370186</v>
      </c>
      <c r="FR83" s="16" t="b">
        <f t="shared" si="268"/>
        <v>0</v>
      </c>
      <c r="FS83" s="17" t="b">
        <f t="shared" si="89"/>
        <v>0</v>
      </c>
      <c r="FT83" s="1" t="b">
        <f t="shared" si="90"/>
        <v>0</v>
      </c>
      <c r="FU83" s="1" t="b">
        <f t="shared" si="91"/>
        <v>0</v>
      </c>
      <c r="FV83" s="1" t="b">
        <f t="shared" si="92"/>
        <v>0</v>
      </c>
      <c r="FW83" s="16">
        <f t="shared" si="269"/>
        <v>90.375428834342571</v>
      </c>
      <c r="FX83" s="15">
        <f t="shared" si="94"/>
        <v>90.375428834342571</v>
      </c>
      <c r="FY83" s="15">
        <f t="shared" si="95"/>
        <v>86.954588627068105</v>
      </c>
      <c r="FZ83" s="15">
        <f t="shared" si="96"/>
        <v>85.968292939387979</v>
      </c>
      <c r="GA83" s="15">
        <f t="shared" si="97"/>
        <v>86.064349726732758</v>
      </c>
      <c r="GC83">
        <f t="shared" si="98"/>
        <v>36.896807720861176</v>
      </c>
      <c r="GD83">
        <f t="shared" si="99"/>
        <v>77.251013608446058</v>
      </c>
      <c r="GE83" s="14">
        <f t="shared" si="324"/>
        <v>54.781306660163601</v>
      </c>
      <c r="GF83" t="e">
        <f>IF(#REF!=FALSE,FALSE,CH83)</f>
        <v>#REF!</v>
      </c>
      <c r="GG83" t="e">
        <f>IF(#REF!=FALSE,FALSE,AN83)</f>
        <v>#REF!</v>
      </c>
      <c r="GH83" s="13" t="e">
        <f>#REF!</f>
        <v>#REF!</v>
      </c>
      <c r="GI83">
        <f t="shared" si="101"/>
        <v>77.251013608446058</v>
      </c>
      <c r="GJ83">
        <f t="shared" si="102"/>
        <v>74.733000000000004</v>
      </c>
      <c r="GK83" s="13">
        <f t="shared" si="325"/>
        <v>90.375428834342571</v>
      </c>
      <c r="GL83" t="str">
        <f t="shared" si="326"/>
        <v>TBZ</v>
      </c>
      <c r="GQ83" s="1"/>
      <c r="GR83" s="1"/>
      <c r="GS83" s="1"/>
      <c r="GT83" s="1"/>
      <c r="GU83" s="1"/>
      <c r="GV83" s="1"/>
      <c r="HA83" s="1"/>
    </row>
    <row r="84" spans="1:209" s="12" customFormat="1">
      <c r="A84" s="12" t="s">
        <v>13</v>
      </c>
      <c r="B84" s="41" t="s">
        <v>12</v>
      </c>
      <c r="C84" s="41" t="s">
        <v>11</v>
      </c>
      <c r="D84" s="12" t="s">
        <v>14</v>
      </c>
      <c r="E84" s="12" t="s">
        <v>10</v>
      </c>
      <c r="F84" s="12" t="s">
        <v>9</v>
      </c>
      <c r="G84" s="12">
        <v>50</v>
      </c>
      <c r="H84" s="12">
        <v>20</v>
      </c>
      <c r="I84" s="12">
        <v>2.5</v>
      </c>
      <c r="J84" s="41">
        <f t="shared" si="270"/>
        <v>50</v>
      </c>
      <c r="K84" s="12" t="s">
        <v>35</v>
      </c>
      <c r="L84" s="12" t="s">
        <v>34</v>
      </c>
      <c r="U84" s="12" t="s">
        <v>6</v>
      </c>
      <c r="V84" s="48">
        <f t="shared" si="190"/>
        <v>1</v>
      </c>
      <c r="W84" s="12" t="s">
        <v>5</v>
      </c>
      <c r="X84" s="12">
        <v>10</v>
      </c>
      <c r="Y84" s="46" t="s">
        <v>4</v>
      </c>
      <c r="Z84" s="46" t="s">
        <v>3</v>
      </c>
      <c r="AA84" s="46"/>
      <c r="AB84" s="46">
        <v>34493</v>
      </c>
      <c r="AC84" s="46">
        <v>34493</v>
      </c>
      <c r="AD84" s="41">
        <f t="shared" si="271"/>
        <v>27.2</v>
      </c>
      <c r="AE84" s="41">
        <v>27.2</v>
      </c>
      <c r="AF84" s="41"/>
      <c r="AG84" s="46"/>
      <c r="AH84" s="46"/>
      <c r="AI84" s="12" t="b">
        <v>0</v>
      </c>
      <c r="AJ84" s="42">
        <f t="shared" si="272"/>
        <v>13.34</v>
      </c>
      <c r="AK84" s="47">
        <f t="shared" si="273"/>
        <v>13.34</v>
      </c>
      <c r="AL84" s="12">
        <v>667</v>
      </c>
      <c r="AM84" s="34">
        <f t="shared" si="194"/>
        <v>40.54</v>
      </c>
      <c r="AN84" s="41">
        <f t="shared" si="274"/>
        <v>2027</v>
      </c>
      <c r="AQ84" s="46"/>
      <c r="AS84" s="79">
        <f t="shared" si="275"/>
        <v>14946.6</v>
      </c>
      <c r="AT84" s="12">
        <v>74733</v>
      </c>
      <c r="AU84" s="12">
        <v>112000</v>
      </c>
      <c r="AV84" s="12">
        <f t="shared" si="276"/>
        <v>74.733000000000004</v>
      </c>
      <c r="AW84" s="77"/>
      <c r="AX84" s="12">
        <v>98.3</v>
      </c>
      <c r="AY84" s="41">
        <f t="shared" si="277"/>
        <v>32.346373951652687</v>
      </c>
      <c r="BA84" s="44">
        <v>1560</v>
      </c>
      <c r="BB84" s="64">
        <f t="shared" si="199"/>
        <v>1560</v>
      </c>
      <c r="BC84" s="61">
        <f t="shared" si="200"/>
        <v>182.14958000000001</v>
      </c>
      <c r="BD84" s="34">
        <f t="shared" si="278"/>
        <v>65.566100000000006</v>
      </c>
      <c r="BE84" s="34"/>
      <c r="BF84" s="78">
        <f t="shared" si="279"/>
        <v>65.566100000000006</v>
      </c>
      <c r="BG84" s="12">
        <f t="shared" si="203"/>
        <v>116.58348000000001</v>
      </c>
      <c r="BH84" s="42">
        <f t="shared" si="280"/>
        <v>16.02</v>
      </c>
      <c r="BI84" s="41">
        <f t="shared" si="281"/>
        <v>16.02</v>
      </c>
      <c r="BJ84" s="12">
        <v>801</v>
      </c>
      <c r="BL84" s="12">
        <v>10000</v>
      </c>
      <c r="BQ84" s="12">
        <v>8007</v>
      </c>
      <c r="BR84" s="12">
        <f t="shared" si="282"/>
        <v>8.0069999999999997</v>
      </c>
      <c r="BS84" s="77"/>
      <c r="BT84" s="12">
        <v>84.5</v>
      </c>
      <c r="BV84" s="12">
        <v>720</v>
      </c>
      <c r="BW84" s="61">
        <f t="shared" si="207"/>
        <v>73.449539999999999</v>
      </c>
      <c r="BX84" s="12">
        <f t="shared" si="283"/>
        <v>67.6845</v>
      </c>
      <c r="BZ84" s="41">
        <f t="shared" si="284"/>
        <v>67.6845</v>
      </c>
      <c r="CA84" s="12">
        <f t="shared" si="210"/>
        <v>5.7650399999999999</v>
      </c>
      <c r="CB84" s="76">
        <f t="shared" si="285"/>
        <v>-3.2309379389654009</v>
      </c>
      <c r="CC84" s="75" t="b">
        <f t="shared" si="286"/>
        <v>0</v>
      </c>
      <c r="CD84" s="75" t="b">
        <f t="shared" si="287"/>
        <v>0</v>
      </c>
      <c r="CE84" s="74">
        <f t="shared" si="265"/>
        <v>95.055011224574869</v>
      </c>
      <c r="CF84" s="69" t="b">
        <f t="shared" si="288"/>
        <v>1</v>
      </c>
      <c r="CG84" s="69" t="b">
        <f t="shared" si="289"/>
        <v>1</v>
      </c>
      <c r="CH84" s="57">
        <f t="shared" si="290"/>
        <v>60.483473112974842</v>
      </c>
      <c r="CI84" s="47">
        <f t="shared" si="266"/>
        <v>89.285857653245543</v>
      </c>
      <c r="CJ84" s="69" t="b">
        <f t="shared" si="291"/>
        <v>1</v>
      </c>
      <c r="CK84" s="69" t="b">
        <f t="shared" si="292"/>
        <v>1</v>
      </c>
      <c r="CL84" s="73">
        <f t="shared" si="293"/>
        <v>-20.089955022488756</v>
      </c>
      <c r="CM84" s="72">
        <f t="shared" si="222"/>
        <v>59.676250694621423</v>
      </c>
      <c r="CN84" s="69" t="b">
        <f t="shared" si="294"/>
        <v>1</v>
      </c>
      <c r="CO84" s="69" t="b">
        <f t="shared" si="295"/>
        <v>1</v>
      </c>
      <c r="CP84" s="12">
        <f t="shared" si="225"/>
        <v>1994</v>
      </c>
      <c r="CQ84" s="46">
        <v>34471</v>
      </c>
      <c r="CR84" s="12">
        <f t="shared" si="296"/>
        <v>22</v>
      </c>
      <c r="CS84" s="12" t="str">
        <f t="shared" si="297"/>
        <v>Terbuthylazin</v>
      </c>
      <c r="CT84" s="12">
        <f t="shared" si="298"/>
        <v>20</v>
      </c>
      <c r="CU84" s="34"/>
      <c r="CV84" s="34"/>
      <c r="CW84" s="41">
        <v>0.8</v>
      </c>
      <c r="CX84" s="41">
        <v>231</v>
      </c>
      <c r="CY84" s="34" t="s">
        <v>2</v>
      </c>
      <c r="CZ84" s="71">
        <v>24</v>
      </c>
      <c r="DA84" s="12">
        <f t="shared" si="299"/>
        <v>2027</v>
      </c>
      <c r="DB84" s="64">
        <v>12.3239436619718</v>
      </c>
      <c r="DC84" s="64" t="s">
        <v>1</v>
      </c>
      <c r="DD84" s="60">
        <f t="shared" si="300"/>
        <v>1.8480000000000001</v>
      </c>
      <c r="DE84" s="60">
        <f t="shared" si="301"/>
        <v>14.677069993998256</v>
      </c>
      <c r="DF84" s="12">
        <f t="shared" si="232"/>
        <v>0.93621257030919447</v>
      </c>
      <c r="DG84" s="12">
        <f t="shared" si="267"/>
        <v>8.117325911256243</v>
      </c>
      <c r="DH84" s="23">
        <f t="shared" si="234"/>
        <v>0.89031871738122237</v>
      </c>
      <c r="DI84" s="34">
        <f t="shared" si="302"/>
        <v>75.859399554396774</v>
      </c>
      <c r="DJ84" s="70">
        <f t="shared" si="236"/>
        <v>43.972002321144402</v>
      </c>
      <c r="DK84" s="70">
        <f t="shared" si="303"/>
        <v>39.14909670724542</v>
      </c>
      <c r="DL84" s="70">
        <f t="shared" si="304"/>
        <v>4.8229056138989836</v>
      </c>
      <c r="DM84" s="69">
        <f t="shared" si="239"/>
        <v>40.290643019417935</v>
      </c>
      <c r="DN84" s="69">
        <f t="shared" si="240"/>
        <v>95.863131196719308</v>
      </c>
      <c r="DO84" s="34">
        <v>24.79</v>
      </c>
      <c r="DP84" s="34">
        <f t="shared" si="305"/>
        <v>32.661075481006414</v>
      </c>
      <c r="DQ84" s="34">
        <f t="shared" si="306"/>
        <v>46.428645979687687</v>
      </c>
      <c r="DR84" s="7">
        <f t="shared" si="57"/>
        <v>-6.6603219062973205</v>
      </c>
      <c r="DS84" s="68">
        <f t="shared" si="307"/>
        <v>-21.36</v>
      </c>
      <c r="DT84" s="5">
        <f t="shared" si="105"/>
        <v>1852.9967446592066</v>
      </c>
      <c r="DU84" s="5">
        <f t="shared" si="106"/>
        <v>1588.0052816901384</v>
      </c>
      <c r="DV84" s="5">
        <f t="shared" si="107"/>
        <v>805.106584</v>
      </c>
      <c r="DW84" s="5">
        <f t="shared" si="108"/>
        <v>78.918224496990987</v>
      </c>
      <c r="DX84" s="5">
        <f t="shared" si="109"/>
        <v>77.188170882384313</v>
      </c>
      <c r="DY84" s="5">
        <f t="shared" si="110"/>
        <v>65.424184093312817</v>
      </c>
      <c r="DZ84" s="5">
        <f t="shared" si="111"/>
        <v>0</v>
      </c>
      <c r="EA84" s="5">
        <f t="shared" si="112"/>
        <v>-1.7300536146066605</v>
      </c>
      <c r="EB84" s="5">
        <f t="shared" si="113"/>
        <v>-13.494040403678156</v>
      </c>
      <c r="EC84" s="47">
        <f t="shared" si="59"/>
        <v>78.918224496990973</v>
      </c>
      <c r="ED84" s="64">
        <f t="shared" si="114"/>
        <v>143.74921446472618</v>
      </c>
      <c r="EE84" s="47">
        <f t="shared" si="60"/>
        <v>38.400365535273835</v>
      </c>
      <c r="EF84" s="47">
        <f t="shared" si="308"/>
        <v>66.725999999999999</v>
      </c>
      <c r="EG84" s="47">
        <f t="shared" si="309"/>
        <v>1226</v>
      </c>
      <c r="EH84" s="47">
        <f t="shared" si="310"/>
        <v>3.2346373951652685E-2</v>
      </c>
      <c r="EI84" s="67">
        <f t="shared" si="311"/>
        <v>33.142665273539023</v>
      </c>
      <c r="EJ84" s="26">
        <f t="shared" si="115"/>
        <v>5.2577002617348105</v>
      </c>
      <c r="EK84" s="66">
        <f t="shared" si="312"/>
        <v>49.451522549703249</v>
      </c>
      <c r="EL84" s="65">
        <f t="shared" si="313"/>
        <v>95.490184148101591</v>
      </c>
      <c r="EM84" s="62">
        <f t="shared" si="314"/>
        <v>66.761817006375438</v>
      </c>
      <c r="EN84" s="62">
        <f t="shared" si="315"/>
        <v>1</v>
      </c>
      <c r="EO84" s="62">
        <f t="shared" si="316"/>
        <v>34.238182993624562</v>
      </c>
      <c r="EP84" s="62">
        <f t="shared" si="70"/>
        <v>5.8513402732728306</v>
      </c>
      <c r="EQ84" s="63">
        <f t="shared" si="71"/>
        <v>60.54321072251858</v>
      </c>
      <c r="ER84" s="63">
        <f t="shared" si="317"/>
        <v>53.902753716613816</v>
      </c>
      <c r="ES84" s="63">
        <f t="shared" si="73"/>
        <v>6.640457005904767</v>
      </c>
      <c r="ET84" s="62">
        <f t="shared" si="318"/>
        <v>17.788683913464716</v>
      </c>
      <c r="EU84" s="62">
        <f t="shared" si="319"/>
        <v>94.304118382892014</v>
      </c>
      <c r="EX84" s="23"/>
      <c r="EZ84" s="46">
        <f t="shared" si="320"/>
        <v>34493</v>
      </c>
      <c r="FA84" s="64">
        <f t="shared" si="321"/>
        <v>1560</v>
      </c>
      <c r="FB84" s="64">
        <f t="shared" si="322"/>
        <v>720</v>
      </c>
      <c r="FC84" s="64" t="b">
        <v>1</v>
      </c>
      <c r="FD84" s="64" t="b">
        <v>1</v>
      </c>
      <c r="FE84" s="20">
        <f t="shared" si="79"/>
        <v>0.56239614737868526</v>
      </c>
      <c r="FF84" s="20">
        <f t="shared" si="80"/>
        <v>15.869786368260428</v>
      </c>
      <c r="FG84" s="20">
        <f t="shared" si="81"/>
        <v>11.740508305232922</v>
      </c>
      <c r="FH84" s="20">
        <f t="shared" si="82"/>
        <v>8.5207100591715985</v>
      </c>
      <c r="FI84" s="59" t="s">
        <v>49</v>
      </c>
      <c r="FJ84" s="58" t="s">
        <v>0</v>
      </c>
      <c r="FK84" s="47">
        <f t="shared" si="323"/>
        <v>59.676250694621423</v>
      </c>
      <c r="FL84" s="57">
        <f t="shared" si="84"/>
        <v>59.676250694621423</v>
      </c>
      <c r="FM84" s="12">
        <f t="shared" si="85"/>
        <v>75.859399554396774</v>
      </c>
      <c r="FN84" s="12">
        <f t="shared" si="86"/>
        <v>78.918224496990973</v>
      </c>
      <c r="FO84" s="1">
        <f t="shared" si="116"/>
        <v>78.918224496990987</v>
      </c>
      <c r="FP84" s="1">
        <f t="shared" si="117"/>
        <v>65.424184093312817</v>
      </c>
      <c r="FQ84" s="12">
        <f t="shared" si="87"/>
        <v>66.761817006375438</v>
      </c>
      <c r="FR84" s="47" t="b">
        <f t="shared" si="268"/>
        <v>0</v>
      </c>
      <c r="FS84" s="57" t="b">
        <f t="shared" si="89"/>
        <v>0</v>
      </c>
      <c r="FT84" s="12" t="b">
        <f t="shared" si="90"/>
        <v>0</v>
      </c>
      <c r="FU84" s="12" t="b">
        <f t="shared" si="91"/>
        <v>0</v>
      </c>
      <c r="FV84" s="12" t="b">
        <f t="shared" si="92"/>
        <v>0</v>
      </c>
      <c r="FW84" s="47">
        <f t="shared" si="269"/>
        <v>95.055011224574869</v>
      </c>
      <c r="FX84" s="56">
        <f t="shared" si="94"/>
        <v>95.055011224574869</v>
      </c>
      <c r="FY84" s="56">
        <f t="shared" si="95"/>
        <v>95.863131196719308</v>
      </c>
      <c r="FZ84" s="56">
        <f t="shared" si="96"/>
        <v>95.490184148101591</v>
      </c>
      <c r="GA84" s="56">
        <f t="shared" si="97"/>
        <v>94.304118382892014</v>
      </c>
      <c r="GC84" s="12">
        <f t="shared" si="98"/>
        <v>60.483473112974842</v>
      </c>
      <c r="GD84" s="12">
        <f t="shared" si="99"/>
        <v>89.285857653245543</v>
      </c>
      <c r="GE84" s="57">
        <f t="shared" si="324"/>
        <v>59.676250694621423</v>
      </c>
      <c r="GF84" s="12" t="e">
        <f>IF(#REF!=FALSE,FALSE,CH84)</f>
        <v>#REF!</v>
      </c>
      <c r="GG84" s="12" t="e">
        <f>IF(#REF!=FALSE,FALSE,AN84)</f>
        <v>#REF!</v>
      </c>
      <c r="GH84" s="56" t="e">
        <f>#REF!</f>
        <v>#REF!</v>
      </c>
      <c r="GI84" s="12">
        <f t="shared" si="101"/>
        <v>89.285857653245543</v>
      </c>
      <c r="GJ84" s="12">
        <f t="shared" si="102"/>
        <v>74.733000000000004</v>
      </c>
      <c r="GK84" s="56">
        <f t="shared" si="325"/>
        <v>95.055011224574869</v>
      </c>
      <c r="GL84" s="12" t="str">
        <f t="shared" si="326"/>
        <v>TBZ</v>
      </c>
    </row>
    <row r="85" spans="1:209">
      <c r="A85" t="s">
        <v>13</v>
      </c>
      <c r="B85" s="21" t="s">
        <v>12</v>
      </c>
      <c r="C85" s="21" t="s">
        <v>11</v>
      </c>
      <c r="D85" t="s">
        <v>18</v>
      </c>
      <c r="E85" t="s">
        <v>10</v>
      </c>
      <c r="F85" t="s">
        <v>9</v>
      </c>
      <c r="G85">
        <v>50</v>
      </c>
      <c r="H85">
        <v>5</v>
      </c>
      <c r="I85">
        <v>2.5</v>
      </c>
      <c r="J85" s="21">
        <f t="shared" si="270"/>
        <v>12.5</v>
      </c>
      <c r="K85" t="s">
        <v>35</v>
      </c>
      <c r="L85" t="s">
        <v>34</v>
      </c>
      <c r="U85" t="s">
        <v>6</v>
      </c>
      <c r="V85" s="53">
        <f t="shared" si="190"/>
        <v>4</v>
      </c>
      <c r="W85" t="s">
        <v>5</v>
      </c>
      <c r="X85">
        <v>10</v>
      </c>
      <c r="Y85" s="52" t="s">
        <v>4</v>
      </c>
      <c r="Z85" s="52" t="s">
        <v>3</v>
      </c>
      <c r="AA85" s="52"/>
      <c r="AB85" s="52">
        <v>34511</v>
      </c>
      <c r="AC85" s="52">
        <v>34511</v>
      </c>
      <c r="AD85" s="21">
        <f t="shared" si="271"/>
        <v>27</v>
      </c>
      <c r="AE85" s="21">
        <v>27</v>
      </c>
      <c r="AF85" s="21"/>
      <c r="AG85" s="52"/>
      <c r="AH85" s="52"/>
      <c r="AI85" t="b">
        <v>0</v>
      </c>
      <c r="AJ85" s="50">
        <f t="shared" si="272"/>
        <v>1.04</v>
      </c>
      <c r="AK85" s="16">
        <f t="shared" si="273"/>
        <v>4.16</v>
      </c>
      <c r="AL85">
        <v>52</v>
      </c>
      <c r="AM85" s="7">
        <f t="shared" si="194"/>
        <v>31.16</v>
      </c>
      <c r="AN85" s="21">
        <f t="shared" si="274"/>
        <v>389.5</v>
      </c>
      <c r="AQ85" s="52"/>
      <c r="AS85" s="45">
        <f t="shared" si="275"/>
        <v>420</v>
      </c>
      <c r="AT85">
        <v>2100</v>
      </c>
      <c r="AU85">
        <v>40400</v>
      </c>
      <c r="AV85">
        <f t="shared" si="276"/>
        <v>2.1</v>
      </c>
      <c r="AW85" s="55"/>
      <c r="AX85">
        <v>43.7</v>
      </c>
      <c r="AY85" s="21">
        <f t="shared" si="277"/>
        <v>5.8341463414634145</v>
      </c>
      <c r="BA85" s="51">
        <v>230</v>
      </c>
      <c r="BB85" s="8">
        <f t="shared" si="199"/>
        <v>230</v>
      </c>
      <c r="BC85" s="24">
        <f t="shared" si="200"/>
        <v>2.7554000000000003</v>
      </c>
      <c r="BD85" s="7">
        <f t="shared" si="278"/>
        <v>2.2724000000000002</v>
      </c>
      <c r="BE85" s="7"/>
      <c r="BF85" s="43">
        <f t="shared" si="279"/>
        <v>2.2724000000000002</v>
      </c>
      <c r="BG85">
        <f t="shared" si="203"/>
        <v>0.48300000000000004</v>
      </c>
      <c r="BH85" s="50">
        <f t="shared" si="280"/>
        <v>2.6</v>
      </c>
      <c r="BI85" s="21">
        <f t="shared" si="281"/>
        <v>10.4</v>
      </c>
      <c r="BJ85">
        <v>130</v>
      </c>
      <c r="BL85">
        <v>20000</v>
      </c>
      <c r="BQ85">
        <v>2594</v>
      </c>
      <c r="BR85">
        <f t="shared" si="282"/>
        <v>2.5939999999999999</v>
      </c>
      <c r="BS85" s="54"/>
      <c r="BT85">
        <v>49</v>
      </c>
      <c r="BV85">
        <v>380</v>
      </c>
      <c r="BW85" s="24">
        <f t="shared" si="207"/>
        <v>7.3557199999999998</v>
      </c>
      <c r="BX85">
        <f t="shared" si="283"/>
        <v>6.37</v>
      </c>
      <c r="BZ85" s="21">
        <f t="shared" si="284"/>
        <v>6.37</v>
      </c>
      <c r="CA85">
        <f t="shared" si="210"/>
        <v>0.98571999999999993</v>
      </c>
      <c r="CB85" s="40">
        <f t="shared" si="285"/>
        <v>-180.32036613272308</v>
      </c>
      <c r="CC85" s="39" t="b">
        <f t="shared" si="286"/>
        <v>0</v>
      </c>
      <c r="CD85" s="39" t="b">
        <f t="shared" si="287"/>
        <v>0</v>
      </c>
      <c r="CE85" s="38">
        <f t="shared" si="265"/>
        <v>-104.08281573498961</v>
      </c>
      <c r="CF85" s="35" t="b">
        <f t="shared" si="288"/>
        <v>0</v>
      </c>
      <c r="CG85" s="35" t="b">
        <f t="shared" si="289"/>
        <v>0</v>
      </c>
      <c r="CH85" s="17">
        <f t="shared" si="290"/>
        <v>66.623876765083452</v>
      </c>
      <c r="CI85" s="16">
        <f t="shared" si="266"/>
        <v>-23.523809523809511</v>
      </c>
      <c r="CJ85" s="35" t="b">
        <f t="shared" si="291"/>
        <v>0</v>
      </c>
      <c r="CK85" s="35" t="b">
        <f t="shared" si="292"/>
        <v>0</v>
      </c>
      <c r="CL85" s="37">
        <f t="shared" si="293"/>
        <v>-150</v>
      </c>
      <c r="CM85" s="36">
        <f t="shared" si="222"/>
        <v>-166.95652173913044</v>
      </c>
      <c r="CN85" s="35" t="b">
        <f t="shared" si="294"/>
        <v>0</v>
      </c>
      <c r="CO85" s="35" t="b">
        <f t="shared" si="295"/>
        <v>0</v>
      </c>
      <c r="CP85">
        <f t="shared" si="225"/>
        <v>1994</v>
      </c>
      <c r="CQ85" s="52">
        <v>34471</v>
      </c>
      <c r="CR85">
        <f t="shared" si="296"/>
        <v>40</v>
      </c>
      <c r="CS85" t="str">
        <f t="shared" si="297"/>
        <v>Terbuthylazin</v>
      </c>
      <c r="CT85">
        <f t="shared" si="298"/>
        <v>5</v>
      </c>
      <c r="CU85" s="7"/>
      <c r="CV85" s="7"/>
      <c r="CW85" s="21">
        <v>0.8</v>
      </c>
      <c r="CX85" s="21">
        <v>231</v>
      </c>
      <c r="CY85" s="7" t="s">
        <v>2</v>
      </c>
      <c r="CZ85" s="33">
        <v>24</v>
      </c>
      <c r="DA85" s="1">
        <f t="shared" si="299"/>
        <v>389.5</v>
      </c>
      <c r="DB85" s="3">
        <v>12.3239436619718</v>
      </c>
      <c r="DC85" s="3" t="s">
        <v>1</v>
      </c>
      <c r="DD85" s="32">
        <f t="shared" si="300"/>
        <v>1.8480000000000001</v>
      </c>
      <c r="DE85" s="32">
        <f t="shared" si="301"/>
        <v>100.3659039373325</v>
      </c>
      <c r="DF85">
        <f t="shared" si="232"/>
        <v>0.99013474984035821</v>
      </c>
      <c r="DG85">
        <f t="shared" si="267"/>
        <v>4.0665271505672536</v>
      </c>
      <c r="DH85" s="2">
        <f t="shared" si="234"/>
        <v>0.80262614404661015</v>
      </c>
      <c r="DI85" s="7">
        <f t="shared" si="302"/>
        <v>15.997169489466771</v>
      </c>
      <c r="DJ85" s="31">
        <f t="shared" si="236"/>
        <v>2.3146139918872328</v>
      </c>
      <c r="DK85" s="31">
        <f t="shared" si="303"/>
        <v>1.8577697032647813</v>
      </c>
      <c r="DL85" s="31">
        <f t="shared" si="304"/>
        <v>0.45684428862245147</v>
      </c>
      <c r="DM85" s="30">
        <f t="shared" si="239"/>
        <v>18.246360532266277</v>
      </c>
      <c r="DN85" s="30">
        <f t="shared" si="240"/>
        <v>5.4152611547719607</v>
      </c>
      <c r="DO85" s="7">
        <v>24.79</v>
      </c>
      <c r="DP85" s="7">
        <f t="shared" si="305"/>
        <v>35.976893453145067</v>
      </c>
      <c r="DQ85" s="7">
        <f t="shared" si="306"/>
        <v>-12.232380952380947</v>
      </c>
      <c r="DR85" s="7">
        <f t="shared" si="57"/>
        <v>-11.177343011297355</v>
      </c>
      <c r="DS85" s="6">
        <f t="shared" si="307"/>
        <v>-21.36</v>
      </c>
      <c r="DT85" s="5">
        <f t="shared" si="105"/>
        <v>63.05263157894737</v>
      </c>
      <c r="DU85" s="5">
        <f t="shared" si="106"/>
        <v>77.880281690140777</v>
      </c>
      <c r="DV85" s="5">
        <f t="shared" si="107"/>
        <v>55.880800000000001</v>
      </c>
      <c r="DW85" s="5">
        <f t="shared" si="108"/>
        <v>50.821694694409388</v>
      </c>
      <c r="DX85" s="5">
        <f t="shared" si="109"/>
        <v>36.667031922721478</v>
      </c>
      <c r="DY85" s="5">
        <f t="shared" si="110"/>
        <v>60.363316054608021</v>
      </c>
      <c r="DZ85" s="5">
        <f t="shared" si="111"/>
        <v>0</v>
      </c>
      <c r="EA85" s="5">
        <f t="shared" si="112"/>
        <v>-14.154662771687889</v>
      </c>
      <c r="EB85" s="5">
        <f t="shared" si="113"/>
        <v>9.5416213601986541</v>
      </c>
      <c r="EC85" s="16">
        <f t="shared" si="59"/>
        <v>50.821694694409366</v>
      </c>
      <c r="ED85" s="3">
        <f t="shared" si="114"/>
        <v>1.400340975609756</v>
      </c>
      <c r="EE85" s="16">
        <f t="shared" si="60"/>
        <v>1.3550590243902443</v>
      </c>
      <c r="EF85" s="16">
        <f t="shared" si="308"/>
        <v>-0.49399999999999977</v>
      </c>
      <c r="EG85" s="16">
        <f t="shared" si="309"/>
        <v>259.5</v>
      </c>
      <c r="EH85" s="16">
        <f t="shared" si="310"/>
        <v>5.8341463414634141E-3</v>
      </c>
      <c r="EI85" s="20">
        <f t="shared" si="311"/>
        <v>1.2262752950259777</v>
      </c>
      <c r="EJ85" s="26">
        <f t="shared" si="115"/>
        <v>0.1287837293642666</v>
      </c>
      <c r="EK85" s="29">
        <f t="shared" si="312"/>
        <v>46.036116219592607</v>
      </c>
      <c r="EL85" s="28">
        <f t="shared" si="313"/>
        <v>73.336701994975869</v>
      </c>
      <c r="EM85" s="25">
        <f t="shared" si="314"/>
        <v>90.181297374765478</v>
      </c>
      <c r="EN85" s="25">
        <f t="shared" si="315"/>
        <v>1</v>
      </c>
      <c r="EO85" s="25">
        <f t="shared" si="316"/>
        <v>10.818702625234518</v>
      </c>
      <c r="EP85" s="25">
        <f t="shared" si="70"/>
        <v>3.2891796279976133</v>
      </c>
      <c r="EQ85" s="26">
        <f t="shared" si="71"/>
        <v>0.270544532135712</v>
      </c>
      <c r="ER85" s="26">
        <f t="shared" si="317"/>
        <v>0.21714611462098071</v>
      </c>
      <c r="ES85" s="26">
        <f t="shared" si="73"/>
        <v>5.3398417514731275E-2</v>
      </c>
      <c r="ET85" s="25">
        <f t="shared" si="318"/>
        <v>90.444194920745431</v>
      </c>
      <c r="EU85" s="25">
        <f t="shared" si="319"/>
        <v>88.944427015583585</v>
      </c>
      <c r="EV85" s="1"/>
      <c r="EW85" s="1"/>
      <c r="EX85" s="2"/>
      <c r="EY85" s="1"/>
      <c r="EZ85" s="22">
        <f t="shared" si="320"/>
        <v>34511</v>
      </c>
      <c r="FA85" s="3">
        <f t="shared" si="321"/>
        <v>230</v>
      </c>
      <c r="FB85" s="3">
        <f t="shared" si="322"/>
        <v>380</v>
      </c>
      <c r="FC85" s="3" t="b">
        <v>1</v>
      </c>
      <c r="FD85" s="3" t="b">
        <v>1</v>
      </c>
      <c r="FE85" s="20">
        <f t="shared" si="79"/>
        <v>4.7047619047619049</v>
      </c>
      <c r="FF85" s="20">
        <f t="shared" si="80"/>
        <v>5.2631578947368416</v>
      </c>
      <c r="FG85" s="20">
        <f t="shared" si="81"/>
        <v>6.4622813780789681</v>
      </c>
      <c r="FH85" s="20">
        <f t="shared" si="82"/>
        <v>7.7551020408163263</v>
      </c>
      <c r="FI85" s="19" t="s">
        <v>48</v>
      </c>
      <c r="FJ85" s="18" t="s">
        <v>0</v>
      </c>
      <c r="FK85" s="16" t="b">
        <f t="shared" si="323"/>
        <v>0</v>
      </c>
      <c r="FL85" s="17"/>
      <c r="FM85" s="1"/>
      <c r="FN85" s="1"/>
      <c r="FO85" s="1"/>
      <c r="FP85" s="1"/>
      <c r="FQ85" s="1"/>
      <c r="FR85" s="16" t="b">
        <f t="shared" si="268"/>
        <v>0</v>
      </c>
      <c r="FS85" s="17" t="b">
        <f t="shared" si="89"/>
        <v>0</v>
      </c>
      <c r="FT85" s="1" t="b">
        <f t="shared" si="90"/>
        <v>0</v>
      </c>
      <c r="FU85" s="1" t="b">
        <f t="shared" si="91"/>
        <v>0</v>
      </c>
      <c r="FV85" s="1" t="b">
        <f t="shared" si="92"/>
        <v>0</v>
      </c>
      <c r="FW85" s="16" t="b">
        <f t="shared" si="269"/>
        <v>0</v>
      </c>
      <c r="FX85" s="15" t="b">
        <f t="shared" si="94"/>
        <v>0</v>
      </c>
      <c r="FY85" s="15" t="b">
        <f t="shared" si="95"/>
        <v>0</v>
      </c>
      <c r="FZ85" s="15" t="b">
        <f t="shared" si="96"/>
        <v>0</v>
      </c>
      <c r="GA85" s="15" t="b">
        <f t="shared" si="97"/>
        <v>0</v>
      </c>
      <c r="GE85" s="14">
        <f t="shared" si="324"/>
        <v>0</v>
      </c>
      <c r="GF85" t="e">
        <f>IF(#REF!=FALSE,FALSE,CH85)</f>
        <v>#REF!</v>
      </c>
      <c r="GG85" t="e">
        <f>IF(#REF!=FALSE,FALSE,AN85)</f>
        <v>#REF!</v>
      </c>
      <c r="GH85" s="13" t="e">
        <f>#REF!</f>
        <v>#REF!</v>
      </c>
      <c r="GI85" t="b">
        <f t="shared" si="101"/>
        <v>0</v>
      </c>
      <c r="GJ85" t="b">
        <f t="shared" si="102"/>
        <v>0</v>
      </c>
      <c r="GK85" s="13" t="b">
        <f t="shared" si="325"/>
        <v>0</v>
      </c>
      <c r="GL85" t="str">
        <f t="shared" si="326"/>
        <v>TBZ</v>
      </c>
      <c r="GQ85" s="1"/>
      <c r="GR85" s="1"/>
      <c r="GS85" s="1"/>
      <c r="GT85" s="1"/>
      <c r="GU85" s="1"/>
      <c r="GV85" s="1"/>
      <c r="HA85" s="1"/>
    </row>
    <row r="86" spans="1:209">
      <c r="A86" t="s">
        <v>13</v>
      </c>
      <c r="B86" s="21" t="s">
        <v>12</v>
      </c>
      <c r="C86" s="21" t="s">
        <v>11</v>
      </c>
      <c r="D86" t="s">
        <v>16</v>
      </c>
      <c r="E86" t="s">
        <v>10</v>
      </c>
      <c r="F86" t="s">
        <v>9</v>
      </c>
      <c r="G86">
        <v>50</v>
      </c>
      <c r="H86">
        <v>10</v>
      </c>
      <c r="I86">
        <v>2.5</v>
      </c>
      <c r="J86" s="21">
        <f t="shared" si="270"/>
        <v>25</v>
      </c>
      <c r="K86" t="s">
        <v>35</v>
      </c>
      <c r="L86" t="s">
        <v>34</v>
      </c>
      <c r="U86" t="s">
        <v>6</v>
      </c>
      <c r="V86" s="53">
        <f t="shared" si="190"/>
        <v>2</v>
      </c>
      <c r="W86" t="s">
        <v>5</v>
      </c>
      <c r="X86">
        <v>10</v>
      </c>
      <c r="Y86" s="52" t="s">
        <v>4</v>
      </c>
      <c r="Z86" s="52" t="s">
        <v>3</v>
      </c>
      <c r="AA86" s="52"/>
      <c r="AB86" s="52">
        <v>34511</v>
      </c>
      <c r="AC86" s="52">
        <v>34511</v>
      </c>
      <c r="AD86" s="21">
        <f t="shared" si="271"/>
        <v>27</v>
      </c>
      <c r="AE86" s="21">
        <v>27</v>
      </c>
      <c r="AF86" s="21"/>
      <c r="AG86" s="52"/>
      <c r="AH86" s="52"/>
      <c r="AI86" t="b">
        <v>0</v>
      </c>
      <c r="AJ86" s="50">
        <f t="shared" si="272"/>
        <v>1.04</v>
      </c>
      <c r="AK86" s="16">
        <f t="shared" si="273"/>
        <v>2.08</v>
      </c>
      <c r="AL86">
        <v>52</v>
      </c>
      <c r="AM86" s="7">
        <f t="shared" si="194"/>
        <v>29.08</v>
      </c>
      <c r="AN86" s="21">
        <f t="shared" si="274"/>
        <v>727</v>
      </c>
      <c r="AQ86" s="52"/>
      <c r="AS86" s="45">
        <f t="shared" si="275"/>
        <v>420</v>
      </c>
      <c r="AT86">
        <v>2100</v>
      </c>
      <c r="AU86">
        <v>40400</v>
      </c>
      <c r="AV86">
        <f t="shared" si="276"/>
        <v>2.1</v>
      </c>
      <c r="AW86" s="55"/>
      <c r="AX86">
        <v>43.7</v>
      </c>
      <c r="AY86" s="21">
        <f t="shared" si="277"/>
        <v>3.1257221458046769</v>
      </c>
      <c r="BA86" s="51">
        <v>230</v>
      </c>
      <c r="BB86" s="8">
        <f t="shared" si="199"/>
        <v>230</v>
      </c>
      <c r="BC86" s="24">
        <f t="shared" si="200"/>
        <v>2.7554000000000003</v>
      </c>
      <c r="BD86" s="7">
        <f t="shared" si="278"/>
        <v>2.2724000000000002</v>
      </c>
      <c r="BE86" s="7"/>
      <c r="BF86" s="43">
        <f t="shared" si="279"/>
        <v>2.2724000000000002</v>
      </c>
      <c r="BG86">
        <f t="shared" si="203"/>
        <v>0.48300000000000004</v>
      </c>
      <c r="BH86" s="50">
        <f t="shared" si="280"/>
        <v>4.2999999999999997E-2</v>
      </c>
      <c r="BI86" s="21">
        <f t="shared" si="281"/>
        <v>8.5999999999999993E-2</v>
      </c>
      <c r="BJ86">
        <v>2.15</v>
      </c>
      <c r="BL86">
        <v>1730</v>
      </c>
      <c r="BQ86">
        <v>3.72</v>
      </c>
      <c r="BR86">
        <f t="shared" si="282"/>
        <v>3.7200000000000002E-3</v>
      </c>
      <c r="BS86" s="54"/>
      <c r="BT86">
        <v>10.5</v>
      </c>
      <c r="BV86">
        <v>60</v>
      </c>
      <c r="BW86" s="24">
        <f t="shared" si="207"/>
        <v>2.2798200000000001E-2</v>
      </c>
      <c r="BX86">
        <f t="shared" si="283"/>
        <v>2.2575000000000001E-2</v>
      </c>
      <c r="BZ86" s="21">
        <f t="shared" si="284"/>
        <v>2.2575000000000001E-2</v>
      </c>
      <c r="CA86">
        <f t="shared" si="210"/>
        <v>2.232E-4</v>
      </c>
      <c r="CB86" s="40">
        <f t="shared" si="285"/>
        <v>99.006556944199971</v>
      </c>
      <c r="CC86" s="39" t="b">
        <f t="shared" si="286"/>
        <v>1</v>
      </c>
      <c r="CD86" s="39" t="b">
        <f t="shared" si="287"/>
        <v>1</v>
      </c>
      <c r="CE86" s="38">
        <f t="shared" si="265"/>
        <v>99.953788819875783</v>
      </c>
      <c r="CF86" s="35" t="b">
        <f t="shared" si="288"/>
        <v>1</v>
      </c>
      <c r="CG86" s="35" t="b">
        <f t="shared" si="289"/>
        <v>1</v>
      </c>
      <c r="CH86" s="17">
        <f t="shared" si="290"/>
        <v>99.704264099037147</v>
      </c>
      <c r="CI86" s="16">
        <f t="shared" si="266"/>
        <v>99.822857142857146</v>
      </c>
      <c r="CJ86" s="35" t="b">
        <f t="shared" si="291"/>
        <v>1</v>
      </c>
      <c r="CK86" s="35" t="b">
        <f t="shared" si="292"/>
        <v>1</v>
      </c>
      <c r="CL86" s="37">
        <f t="shared" si="293"/>
        <v>95.865384615384613</v>
      </c>
      <c r="CM86" s="36">
        <f t="shared" si="222"/>
        <v>99.172599259635632</v>
      </c>
      <c r="CN86" s="35" t="b">
        <f t="shared" si="294"/>
        <v>1</v>
      </c>
      <c r="CO86" s="35" t="b">
        <f t="shared" si="295"/>
        <v>1</v>
      </c>
      <c r="CP86">
        <f t="shared" si="225"/>
        <v>1994</v>
      </c>
      <c r="CQ86" s="52">
        <v>34471</v>
      </c>
      <c r="CR86">
        <f t="shared" si="296"/>
        <v>40</v>
      </c>
      <c r="CS86" t="str">
        <f t="shared" si="297"/>
        <v>Terbuthylazin</v>
      </c>
      <c r="CT86">
        <f t="shared" si="298"/>
        <v>10</v>
      </c>
      <c r="CU86" s="7"/>
      <c r="CV86" s="7"/>
      <c r="CW86" s="21">
        <v>0.8</v>
      </c>
      <c r="CX86" s="21">
        <v>231</v>
      </c>
      <c r="CY86" s="7" t="s">
        <v>2</v>
      </c>
      <c r="CZ86" s="33">
        <v>24</v>
      </c>
      <c r="DA86" s="1">
        <f t="shared" si="299"/>
        <v>727</v>
      </c>
      <c r="DB86" s="3">
        <v>12.3239436619718</v>
      </c>
      <c r="DC86" s="3" t="s">
        <v>1</v>
      </c>
      <c r="DD86" s="32">
        <f t="shared" si="300"/>
        <v>1.8480000000000001</v>
      </c>
      <c r="DE86" s="32">
        <f t="shared" si="301"/>
        <v>187.33250876108019</v>
      </c>
      <c r="DF86">
        <f t="shared" si="232"/>
        <v>0.99469024223922697</v>
      </c>
      <c r="DG86">
        <f t="shared" si="267"/>
        <v>46.897081413210557</v>
      </c>
      <c r="DH86" s="2">
        <f t="shared" si="234"/>
        <v>0.97912190115775632</v>
      </c>
      <c r="DI86" s="7">
        <f t="shared" si="302"/>
        <v>96.501722392380032</v>
      </c>
      <c r="DJ86" s="31">
        <f t="shared" si="236"/>
        <v>9.6391541200360684E-2</v>
      </c>
      <c r="DK86" s="31">
        <f t="shared" si="303"/>
        <v>9.4379069075623351E-2</v>
      </c>
      <c r="DL86" s="31">
        <f t="shared" si="304"/>
        <v>2.0124721247373289E-3</v>
      </c>
      <c r="DM86" s="30">
        <f t="shared" si="239"/>
        <v>95.846722888768554</v>
      </c>
      <c r="DN86" s="30">
        <f t="shared" si="240"/>
        <v>99.583339104609252</v>
      </c>
      <c r="DO86" s="7">
        <v>24.79</v>
      </c>
      <c r="DP86" s="7">
        <f t="shared" si="305"/>
        <v>53.840302613480063</v>
      </c>
      <c r="DQ86" s="7">
        <f t="shared" si="306"/>
        <v>51.907885714285719</v>
      </c>
      <c r="DR86" s="7">
        <f t="shared" si="57"/>
        <v>-12.676465935385769</v>
      </c>
      <c r="DS86" s="6">
        <f t="shared" si="307"/>
        <v>-21.36</v>
      </c>
      <c r="DT86" s="5">
        <f t="shared" si="105"/>
        <v>63.05263157894737</v>
      </c>
      <c r="DU86" s="5">
        <f t="shared" si="106"/>
        <v>77.880281690140777</v>
      </c>
      <c r="DV86" s="5">
        <f t="shared" si="107"/>
        <v>55.880800000000001</v>
      </c>
      <c r="DW86" s="5">
        <f t="shared" si="108"/>
        <v>99.725052529089069</v>
      </c>
      <c r="DX86" s="5">
        <f t="shared" si="109"/>
        <v>99.743673578740427</v>
      </c>
      <c r="DY86" s="5">
        <f t="shared" si="110"/>
        <v>99.71250012794971</v>
      </c>
      <c r="DZ86" s="5">
        <f t="shared" si="111"/>
        <v>0</v>
      </c>
      <c r="EA86" s="5">
        <f t="shared" si="112"/>
        <v>1.8621049651358135E-2</v>
      </c>
      <c r="EB86" s="5">
        <f t="shared" si="113"/>
        <v>-1.2552401139359404E-2</v>
      </c>
      <c r="EC86" s="16">
        <f t="shared" si="59"/>
        <v>99.725052529089069</v>
      </c>
      <c r="ED86" s="3">
        <f t="shared" si="114"/>
        <v>2.7478240973865202</v>
      </c>
      <c r="EE86" s="16">
        <f t="shared" si="60"/>
        <v>7.5759026134800678E-3</v>
      </c>
      <c r="EF86" s="16">
        <f t="shared" si="308"/>
        <v>2.0962800000000001</v>
      </c>
      <c r="EG86" s="16">
        <f t="shared" si="309"/>
        <v>724.85</v>
      </c>
      <c r="EH86" s="16">
        <f t="shared" si="310"/>
        <v>3.125722145804677E-3</v>
      </c>
      <c r="EI86" s="20">
        <f t="shared" si="311"/>
        <v>7.5075353393979126E-3</v>
      </c>
      <c r="EJ86" s="26">
        <f t="shared" si="115"/>
        <v>6.836727408215479E-5</v>
      </c>
      <c r="EK86" s="29">
        <f t="shared" si="312"/>
        <v>99.669620870471832</v>
      </c>
      <c r="EL86" s="28">
        <f t="shared" si="313"/>
        <v>99.985845284869114</v>
      </c>
      <c r="EM86" s="25">
        <f t="shared" si="314"/>
        <v>84.182255894918896</v>
      </c>
      <c r="EN86" s="25">
        <f t="shared" si="315"/>
        <v>1</v>
      </c>
      <c r="EO86" s="25">
        <f t="shared" si="316"/>
        <v>16.817744105081101</v>
      </c>
      <c r="EP86" s="25">
        <f t="shared" si="70"/>
        <v>4.1009442943157737</v>
      </c>
      <c r="EQ86" s="26">
        <f t="shared" si="71"/>
        <v>0.43584212107140469</v>
      </c>
      <c r="ER86" s="26">
        <f t="shared" si="317"/>
        <v>0.42674256618806278</v>
      </c>
      <c r="ES86" s="26">
        <f t="shared" si="73"/>
        <v>9.0995548833418989E-3</v>
      </c>
      <c r="ET86" s="25">
        <f t="shared" si="318"/>
        <v>81.2206228574167</v>
      </c>
      <c r="EU86" s="25">
        <f t="shared" si="319"/>
        <v>98.1160341856435</v>
      </c>
      <c r="EV86" s="1"/>
      <c r="EW86" s="1"/>
      <c r="EX86" s="2"/>
      <c r="EY86" s="1"/>
      <c r="EZ86" s="22">
        <f t="shared" si="320"/>
        <v>34511</v>
      </c>
      <c r="FA86" s="3">
        <f t="shared" si="321"/>
        <v>230</v>
      </c>
      <c r="FB86" s="3">
        <f t="shared" si="322"/>
        <v>60</v>
      </c>
      <c r="FC86" s="3" t="b">
        <v>1</v>
      </c>
      <c r="FD86" s="3" t="b">
        <v>1</v>
      </c>
      <c r="FE86" s="20">
        <f t="shared" si="79"/>
        <v>4.7047619047619049</v>
      </c>
      <c r="FF86" s="20">
        <f t="shared" si="80"/>
        <v>5.2631578947368416</v>
      </c>
      <c r="FG86" s="20">
        <f t="shared" si="81"/>
        <v>101.14247311827957</v>
      </c>
      <c r="FH86" s="20">
        <f t="shared" si="82"/>
        <v>5.7142857142857144</v>
      </c>
      <c r="FI86" s="19" t="s">
        <v>47</v>
      </c>
      <c r="FJ86" s="18" t="s">
        <v>0</v>
      </c>
      <c r="FK86" s="16">
        <f t="shared" si="323"/>
        <v>99.172599259635632</v>
      </c>
      <c r="FL86" s="17">
        <f t="shared" si="84"/>
        <v>99.172599259635632</v>
      </c>
      <c r="FM86" s="1">
        <f t="shared" si="85"/>
        <v>96.501722392380032</v>
      </c>
      <c r="FN86" s="1">
        <f t="shared" si="86"/>
        <v>99.725052529089069</v>
      </c>
      <c r="FO86" s="1">
        <f t="shared" ref="FO86:FO114" si="327">IF($FK86=FALSE,FALSE,DW86)</f>
        <v>99.725052529089069</v>
      </c>
      <c r="FP86" s="1">
        <f t="shared" ref="FP86:FP114" si="328">IF($FK86=FALSE,FALSE,DY86)</f>
        <v>99.71250012794971</v>
      </c>
      <c r="FQ86" s="1">
        <f t="shared" si="87"/>
        <v>84.182255894918896</v>
      </c>
      <c r="FR86" s="16">
        <f t="shared" si="268"/>
        <v>99.006556944199971</v>
      </c>
      <c r="FS86" s="17">
        <f t="shared" si="89"/>
        <v>99.006556944199971</v>
      </c>
      <c r="FT86" s="1">
        <f t="shared" si="90"/>
        <v>95.846722888768554</v>
      </c>
      <c r="FU86" s="1">
        <f t="shared" si="91"/>
        <v>99.669620870471832</v>
      </c>
      <c r="FV86" s="1">
        <f t="shared" si="92"/>
        <v>81.2206228574167</v>
      </c>
      <c r="FW86" s="16">
        <f t="shared" si="269"/>
        <v>99.953788819875783</v>
      </c>
      <c r="FX86" s="15">
        <f t="shared" si="94"/>
        <v>99.953788819875783</v>
      </c>
      <c r="FY86" s="15">
        <f t="shared" si="95"/>
        <v>99.583339104609252</v>
      </c>
      <c r="FZ86" s="15">
        <f t="shared" si="96"/>
        <v>99.985845284869114</v>
      </c>
      <c r="GA86" s="15">
        <f t="shared" si="97"/>
        <v>98.1160341856435</v>
      </c>
      <c r="GC86">
        <f t="shared" si="98"/>
        <v>99.704264099037147</v>
      </c>
      <c r="GD86">
        <f t="shared" si="99"/>
        <v>99.822857142857146</v>
      </c>
      <c r="GE86" s="14">
        <f t="shared" si="324"/>
        <v>99.172599259635632</v>
      </c>
      <c r="GF86" t="e">
        <f>IF(#REF!=FALSE,FALSE,CH86)</f>
        <v>#REF!</v>
      </c>
      <c r="GG86" t="e">
        <f>IF(#REF!=FALSE,FALSE,AN86)</f>
        <v>#REF!</v>
      </c>
      <c r="GH86" s="13" t="e">
        <f>#REF!</f>
        <v>#REF!</v>
      </c>
      <c r="GI86">
        <f t="shared" si="101"/>
        <v>99.822857142857146</v>
      </c>
      <c r="GJ86">
        <f t="shared" si="102"/>
        <v>2.1</v>
      </c>
      <c r="GK86" s="13">
        <f t="shared" si="325"/>
        <v>99.953788819875783</v>
      </c>
      <c r="GL86" t="str">
        <f t="shared" si="326"/>
        <v>TBZ</v>
      </c>
      <c r="GQ86" s="1"/>
      <c r="GR86" s="1"/>
      <c r="GS86" s="1"/>
      <c r="GT86" s="1"/>
      <c r="GU86" s="1"/>
      <c r="GV86" s="1"/>
      <c r="HA86" s="1"/>
    </row>
    <row r="87" spans="1:209">
      <c r="A87" t="s">
        <v>13</v>
      </c>
      <c r="B87" s="21" t="s">
        <v>12</v>
      </c>
      <c r="C87" s="21" t="s">
        <v>11</v>
      </c>
      <c r="D87" t="s">
        <v>18</v>
      </c>
      <c r="E87" t="s">
        <v>10</v>
      </c>
      <c r="F87" t="s">
        <v>9</v>
      </c>
      <c r="G87">
        <v>50</v>
      </c>
      <c r="H87">
        <v>5</v>
      </c>
      <c r="I87">
        <v>2.5</v>
      </c>
      <c r="J87" s="21">
        <f t="shared" si="270"/>
        <v>12.5</v>
      </c>
      <c r="K87" t="s">
        <v>35</v>
      </c>
      <c r="L87" t="s">
        <v>34</v>
      </c>
      <c r="U87" t="s">
        <v>6</v>
      </c>
      <c r="V87" s="53">
        <f t="shared" si="190"/>
        <v>4</v>
      </c>
      <c r="W87" t="s">
        <v>5</v>
      </c>
      <c r="X87">
        <v>10</v>
      </c>
      <c r="Y87" s="52" t="s">
        <v>4</v>
      </c>
      <c r="Z87" s="52" t="s">
        <v>3</v>
      </c>
      <c r="AA87" s="52"/>
      <c r="AB87" s="52">
        <v>34513</v>
      </c>
      <c r="AC87" s="52">
        <v>34513</v>
      </c>
      <c r="AD87" s="21">
        <f t="shared" si="271"/>
        <v>9</v>
      </c>
      <c r="AE87" s="21">
        <v>9</v>
      </c>
      <c r="AF87" s="21"/>
      <c r="AG87" s="52"/>
      <c r="AH87" s="52"/>
      <c r="AI87" t="b">
        <v>0</v>
      </c>
      <c r="AJ87" s="50">
        <f t="shared" si="272"/>
        <v>3.38</v>
      </c>
      <c r="AK87" s="16">
        <f t="shared" si="273"/>
        <v>13.52</v>
      </c>
      <c r="AL87">
        <v>169</v>
      </c>
      <c r="AM87" s="7">
        <f t="shared" si="194"/>
        <v>22.52</v>
      </c>
      <c r="AN87" s="21">
        <f t="shared" si="274"/>
        <v>281.5</v>
      </c>
      <c r="AQ87" s="52"/>
      <c r="AS87" s="45">
        <f t="shared" si="275"/>
        <v>3373.5999999999995</v>
      </c>
      <c r="AT87">
        <v>16868</v>
      </c>
      <c r="AU87">
        <v>100000</v>
      </c>
      <c r="AV87">
        <f t="shared" si="276"/>
        <v>16.867999999999999</v>
      </c>
      <c r="AW87" s="55"/>
      <c r="AX87">
        <v>53.2</v>
      </c>
      <c r="AY87" s="21">
        <f t="shared" si="277"/>
        <v>31.938898756660748</v>
      </c>
      <c r="BA87" s="51">
        <v>440</v>
      </c>
      <c r="BB87" s="8">
        <f t="shared" si="199"/>
        <v>440</v>
      </c>
      <c r="BC87" s="24">
        <f t="shared" si="200"/>
        <v>16.41272</v>
      </c>
      <c r="BD87" s="7">
        <f t="shared" si="278"/>
        <v>8.9908000000000001</v>
      </c>
      <c r="BE87" s="7"/>
      <c r="BF87" s="43">
        <f t="shared" si="279"/>
        <v>8.9908000000000001</v>
      </c>
      <c r="BG87">
        <f t="shared" si="203"/>
        <v>7.4219199999999992</v>
      </c>
      <c r="BH87" s="50">
        <f t="shared" si="280"/>
        <v>2.9</v>
      </c>
      <c r="BI87" s="21">
        <f t="shared" si="281"/>
        <v>11.6</v>
      </c>
      <c r="BJ87">
        <v>145</v>
      </c>
      <c r="BL87">
        <v>80000</v>
      </c>
      <c r="BQ87">
        <v>11590</v>
      </c>
      <c r="BR87">
        <f t="shared" si="282"/>
        <v>11.59</v>
      </c>
      <c r="BS87" s="54"/>
      <c r="BT87">
        <v>49</v>
      </c>
      <c r="BV87">
        <v>340</v>
      </c>
      <c r="BW87" s="24">
        <f t="shared" si="207"/>
        <v>11.0456</v>
      </c>
      <c r="BX87">
        <f t="shared" si="283"/>
        <v>7.1050000000000004</v>
      </c>
      <c r="BZ87" s="21">
        <f t="shared" si="284"/>
        <v>7.1050000000000004</v>
      </c>
      <c r="CA87">
        <f t="shared" si="210"/>
        <v>3.9406000000000003</v>
      </c>
      <c r="CB87" s="40">
        <f t="shared" si="285"/>
        <v>20.974774213640607</v>
      </c>
      <c r="CC87" s="39" t="b">
        <f t="shared" si="286"/>
        <v>1</v>
      </c>
      <c r="CD87" s="39" t="b">
        <f t="shared" si="287"/>
        <v>1</v>
      </c>
      <c r="CE87" s="38">
        <f t="shared" si="265"/>
        <v>46.905921917778677</v>
      </c>
      <c r="CF87" s="35" t="b">
        <f t="shared" si="288"/>
        <v>1</v>
      </c>
      <c r="CG87" s="35" t="b">
        <f t="shared" si="289"/>
        <v>1</v>
      </c>
      <c r="CH87" s="17">
        <f t="shared" si="290"/>
        <v>48.490230905861459</v>
      </c>
      <c r="CI87" s="16">
        <f t="shared" si="266"/>
        <v>31.290016599478299</v>
      </c>
      <c r="CJ87" s="35" t="b">
        <f t="shared" si="291"/>
        <v>1</v>
      </c>
      <c r="CK87" s="35" t="b">
        <f t="shared" si="292"/>
        <v>1</v>
      </c>
      <c r="CL87" s="37">
        <f t="shared" si="293"/>
        <v>14.201183431952662</v>
      </c>
      <c r="CM87" s="36">
        <f t="shared" si="222"/>
        <v>32.700978265637872</v>
      </c>
      <c r="CN87" s="35" t="b">
        <f t="shared" si="294"/>
        <v>1</v>
      </c>
      <c r="CO87" s="35" t="b">
        <f t="shared" si="295"/>
        <v>1</v>
      </c>
      <c r="CP87">
        <f t="shared" si="225"/>
        <v>1994</v>
      </c>
      <c r="CQ87" s="52">
        <v>34471</v>
      </c>
      <c r="CR87">
        <f t="shared" si="296"/>
        <v>42</v>
      </c>
      <c r="CS87" t="str">
        <f t="shared" si="297"/>
        <v>Terbuthylazin</v>
      </c>
      <c r="CT87">
        <f t="shared" si="298"/>
        <v>5</v>
      </c>
      <c r="CU87" s="7"/>
      <c r="CV87" s="7"/>
      <c r="CW87" s="21">
        <v>0.8</v>
      </c>
      <c r="CX87" s="21">
        <v>231</v>
      </c>
      <c r="CY87" s="7" t="s">
        <v>2</v>
      </c>
      <c r="CZ87" s="33">
        <v>24</v>
      </c>
      <c r="DA87" s="1">
        <f t="shared" si="299"/>
        <v>281.5</v>
      </c>
      <c r="DB87" s="3">
        <v>12.3239436619718</v>
      </c>
      <c r="DC87" s="3" t="s">
        <v>1</v>
      </c>
      <c r="DD87" s="32">
        <f t="shared" si="300"/>
        <v>1.8480000000000001</v>
      </c>
      <c r="DE87" s="32">
        <f t="shared" si="301"/>
        <v>9.0305216876238941</v>
      </c>
      <c r="DF87">
        <f t="shared" si="232"/>
        <v>0.90030428813749097</v>
      </c>
      <c r="DG87">
        <f t="shared" si="267"/>
        <v>1.0151608529520548</v>
      </c>
      <c r="DH87" s="2">
        <f t="shared" si="234"/>
        <v>0.50376169796317882</v>
      </c>
      <c r="DI87" s="7">
        <f t="shared" si="302"/>
        <v>40.305902396597922</v>
      </c>
      <c r="DJ87" s="31">
        <f t="shared" si="236"/>
        <v>9.7974250961730931</v>
      </c>
      <c r="DK87" s="31">
        <f t="shared" si="303"/>
        <v>4.9355675021152177</v>
      </c>
      <c r="DL87" s="31">
        <f t="shared" si="304"/>
        <v>4.8618575940578754</v>
      </c>
      <c r="DM87" s="30">
        <f t="shared" si="239"/>
        <v>45.104245427378906</v>
      </c>
      <c r="DN87" s="30">
        <f t="shared" si="240"/>
        <v>34.493263278802843</v>
      </c>
      <c r="DO87" s="7">
        <v>24.79</v>
      </c>
      <c r="DP87" s="7">
        <f t="shared" si="305"/>
        <v>26.18472468916519</v>
      </c>
      <c r="DQ87" s="7">
        <f t="shared" si="306"/>
        <v>16.270808631728716</v>
      </c>
      <c r="DR87" s="7">
        <f t="shared" si="57"/>
        <v>-5.5796309242959792</v>
      </c>
      <c r="DS87" s="6">
        <f t="shared" si="307"/>
        <v>-21.36</v>
      </c>
      <c r="DT87" s="5">
        <f t="shared" si="105"/>
        <v>308.5097744360902</v>
      </c>
      <c r="DU87" s="5">
        <f t="shared" si="106"/>
        <v>376.88028169014029</v>
      </c>
      <c r="DV87" s="5">
        <f t="shared" si="107"/>
        <v>200.17206400000001</v>
      </c>
      <c r="DW87" s="5">
        <f t="shared" si="108"/>
        <v>40.712201757442962</v>
      </c>
      <c r="DX87" s="5">
        <f t="shared" si="109"/>
        <v>39.002906763810813</v>
      </c>
      <c r="DY87" s="5">
        <f t="shared" si="110"/>
        <v>45.811704389932174</v>
      </c>
      <c r="DZ87" s="5">
        <f t="shared" si="111"/>
        <v>0</v>
      </c>
      <c r="EA87" s="5">
        <f t="shared" si="112"/>
        <v>-1.7092949936321418</v>
      </c>
      <c r="EB87" s="5">
        <f t="shared" si="113"/>
        <v>5.0995026324892194</v>
      </c>
      <c r="EC87" s="16">
        <f t="shared" si="59"/>
        <v>40.712201757442955</v>
      </c>
      <c r="ED87" s="3">
        <f t="shared" si="114"/>
        <v>6.6819796802841918</v>
      </c>
      <c r="EE87" s="16">
        <f t="shared" si="60"/>
        <v>9.7307403197158084</v>
      </c>
      <c r="EF87" s="16">
        <f t="shared" si="308"/>
        <v>5.2779999999999987</v>
      </c>
      <c r="EG87" s="16">
        <f t="shared" si="309"/>
        <v>136.5</v>
      </c>
      <c r="EH87" s="16">
        <f t="shared" si="310"/>
        <v>3.1938898756660748E-2</v>
      </c>
      <c r="EI87" s="20">
        <f t="shared" si="311"/>
        <v>5.8580672743247604</v>
      </c>
      <c r="EJ87" s="26">
        <f t="shared" si="115"/>
        <v>3.8726730453910485</v>
      </c>
      <c r="EK87" s="29">
        <f t="shared" si="312"/>
        <v>34.843759461618987</v>
      </c>
      <c r="EL87" s="28">
        <f t="shared" si="313"/>
        <v>47.821142704434308</v>
      </c>
      <c r="EM87" s="25">
        <f t="shared" si="314"/>
        <v>73.007182715130469</v>
      </c>
      <c r="EN87" s="25">
        <f t="shared" si="315"/>
        <v>1</v>
      </c>
      <c r="EO87" s="25">
        <f t="shared" si="316"/>
        <v>27.992817284869535</v>
      </c>
      <c r="EP87" s="25">
        <f t="shared" si="70"/>
        <v>5.2908238758126824</v>
      </c>
      <c r="EQ87" s="26">
        <f t="shared" si="71"/>
        <v>4.4302555210772381</v>
      </c>
      <c r="ER87" s="26">
        <f t="shared" si="317"/>
        <v>2.2317930437086169</v>
      </c>
      <c r="ES87" s="26">
        <f t="shared" si="73"/>
        <v>2.1984624773686212</v>
      </c>
      <c r="ET87" s="25">
        <f t="shared" si="318"/>
        <v>75.176924815270979</v>
      </c>
      <c r="EU87" s="25">
        <f t="shared" si="319"/>
        <v>70.378790429314492</v>
      </c>
      <c r="EV87" s="1"/>
      <c r="EW87" s="1"/>
      <c r="EX87" s="2"/>
      <c r="EY87" s="1"/>
      <c r="EZ87" s="22">
        <f t="shared" si="320"/>
        <v>34513</v>
      </c>
      <c r="FA87" s="3">
        <f t="shared" si="321"/>
        <v>440</v>
      </c>
      <c r="FB87" s="3">
        <f t="shared" si="322"/>
        <v>340</v>
      </c>
      <c r="FC87" s="3" t="b">
        <v>1</v>
      </c>
      <c r="FD87" s="3" t="b">
        <v>1</v>
      </c>
      <c r="FE87" s="20">
        <f t="shared" si="79"/>
        <v>1.2113846551835645</v>
      </c>
      <c r="FF87" s="20">
        <f t="shared" si="80"/>
        <v>8.2706766917293226</v>
      </c>
      <c r="FG87" s="20">
        <f t="shared" si="81"/>
        <v>1.8030249200629345</v>
      </c>
      <c r="FH87" s="20">
        <f t="shared" si="82"/>
        <v>6.9387755102040813</v>
      </c>
      <c r="FI87" s="19" t="s">
        <v>46</v>
      </c>
      <c r="FJ87" s="18" t="s">
        <v>0</v>
      </c>
      <c r="FK87" s="16">
        <f t="shared" si="323"/>
        <v>32.700978265637872</v>
      </c>
      <c r="FL87" s="17">
        <f t="shared" si="84"/>
        <v>32.700978265637872</v>
      </c>
      <c r="FM87" s="1">
        <f t="shared" si="85"/>
        <v>40.305902396597922</v>
      </c>
      <c r="FN87" s="1">
        <f t="shared" si="86"/>
        <v>40.712201757442955</v>
      </c>
      <c r="FO87" s="1">
        <f t="shared" si="327"/>
        <v>40.712201757442962</v>
      </c>
      <c r="FP87" s="1">
        <f t="shared" si="328"/>
        <v>45.811704389932174</v>
      </c>
      <c r="FQ87" s="1">
        <f t="shared" si="87"/>
        <v>73.007182715130469</v>
      </c>
      <c r="FR87" s="16">
        <f t="shared" si="268"/>
        <v>20.974774213640607</v>
      </c>
      <c r="FS87" s="17">
        <f t="shared" si="89"/>
        <v>20.974774213640607</v>
      </c>
      <c r="FT87" s="1">
        <f t="shared" si="90"/>
        <v>45.104245427378906</v>
      </c>
      <c r="FU87" s="1">
        <f t="shared" si="91"/>
        <v>34.843759461618987</v>
      </c>
      <c r="FV87" s="1">
        <f t="shared" si="92"/>
        <v>75.176924815270979</v>
      </c>
      <c r="FW87" s="16">
        <f t="shared" si="269"/>
        <v>46.905921917778677</v>
      </c>
      <c r="FX87" s="15">
        <f t="shared" si="94"/>
        <v>46.905921917778677</v>
      </c>
      <c r="FY87" s="15">
        <f t="shared" si="95"/>
        <v>34.493263278802843</v>
      </c>
      <c r="FZ87" s="15">
        <f t="shared" si="96"/>
        <v>47.821142704434308</v>
      </c>
      <c r="GA87" s="15">
        <f t="shared" si="97"/>
        <v>70.378790429314492</v>
      </c>
      <c r="GC87">
        <f t="shared" si="98"/>
        <v>48.490230905861459</v>
      </c>
      <c r="GD87">
        <f t="shared" si="99"/>
        <v>31.290016599478299</v>
      </c>
      <c r="GE87" s="14">
        <f t="shared" si="324"/>
        <v>32.700978265637872</v>
      </c>
      <c r="GF87" t="e">
        <f>IF(#REF!=FALSE,FALSE,CH87)</f>
        <v>#REF!</v>
      </c>
      <c r="GG87" t="e">
        <f>IF(#REF!=FALSE,FALSE,AN87)</f>
        <v>#REF!</v>
      </c>
      <c r="GH87" s="13" t="e">
        <f>#REF!</f>
        <v>#REF!</v>
      </c>
      <c r="GI87">
        <f t="shared" si="101"/>
        <v>31.290016599478299</v>
      </c>
      <c r="GJ87">
        <f t="shared" si="102"/>
        <v>16.867999999999999</v>
      </c>
      <c r="GK87" s="13">
        <f t="shared" si="325"/>
        <v>46.905921917778677</v>
      </c>
      <c r="GL87" t="str">
        <f t="shared" si="326"/>
        <v>TBZ</v>
      </c>
      <c r="GQ87" s="1"/>
      <c r="GR87" s="1"/>
      <c r="GS87" s="1"/>
      <c r="GT87" s="1"/>
      <c r="GU87" s="1"/>
      <c r="GV87" s="1"/>
      <c r="HA87" s="1"/>
    </row>
    <row r="88" spans="1:209" s="1" customFormat="1">
      <c r="A88" s="1" t="s">
        <v>13</v>
      </c>
      <c r="B88" s="21" t="s">
        <v>12</v>
      </c>
      <c r="C88" s="21" t="s">
        <v>11</v>
      </c>
      <c r="D88" s="1" t="s">
        <v>16</v>
      </c>
      <c r="E88" s="1" t="s">
        <v>10</v>
      </c>
      <c r="F88" s="1" t="s">
        <v>9</v>
      </c>
      <c r="G88" s="1">
        <v>50</v>
      </c>
      <c r="H88" s="1">
        <v>10</v>
      </c>
      <c r="I88" s="1">
        <v>2.5</v>
      </c>
      <c r="J88" s="21">
        <f t="shared" si="270"/>
        <v>25</v>
      </c>
      <c r="K88" s="1" t="s">
        <v>35</v>
      </c>
      <c r="L88" s="1" t="s">
        <v>34</v>
      </c>
      <c r="U88" s="1" t="s">
        <v>6</v>
      </c>
      <c r="V88" s="84">
        <f t="shared" si="190"/>
        <v>2</v>
      </c>
      <c r="W88" s="1" t="s">
        <v>5</v>
      </c>
      <c r="X88" s="1">
        <v>10</v>
      </c>
      <c r="Y88" s="22" t="s">
        <v>4</v>
      </c>
      <c r="Z88" s="22" t="s">
        <v>3</v>
      </c>
      <c r="AA88" s="22"/>
      <c r="AB88" s="22">
        <v>34513</v>
      </c>
      <c r="AC88" s="22">
        <v>34513</v>
      </c>
      <c r="AD88" s="21">
        <f t="shared" si="271"/>
        <v>9</v>
      </c>
      <c r="AE88" s="21">
        <v>9</v>
      </c>
      <c r="AF88" s="21"/>
      <c r="AG88" s="22"/>
      <c r="AH88" s="22"/>
      <c r="AI88" s="1" t="b">
        <v>0</v>
      </c>
      <c r="AJ88" s="83">
        <f t="shared" si="272"/>
        <v>3.38</v>
      </c>
      <c r="AK88" s="16">
        <f t="shared" si="273"/>
        <v>6.76</v>
      </c>
      <c r="AL88" s="1">
        <v>169</v>
      </c>
      <c r="AM88" s="82">
        <f t="shared" si="194"/>
        <v>15.76</v>
      </c>
      <c r="AN88" s="21">
        <f t="shared" si="274"/>
        <v>394</v>
      </c>
      <c r="AQ88" s="22"/>
      <c r="AS88" s="45">
        <f t="shared" si="275"/>
        <v>3373.5999999999995</v>
      </c>
      <c r="AT88" s="1">
        <v>16868</v>
      </c>
      <c r="AU88" s="1">
        <v>100000</v>
      </c>
      <c r="AV88" s="1">
        <f t="shared" si="276"/>
        <v>16.867999999999999</v>
      </c>
      <c r="AW88" s="55"/>
      <c r="AX88" s="1">
        <v>53.2</v>
      </c>
      <c r="AY88" s="21">
        <f t="shared" si="277"/>
        <v>22.819289340101527</v>
      </c>
      <c r="BA88" s="51">
        <v>440</v>
      </c>
      <c r="BB88" s="3">
        <f t="shared" si="199"/>
        <v>440</v>
      </c>
      <c r="BC88" s="27">
        <f t="shared" si="200"/>
        <v>16.41272</v>
      </c>
      <c r="BD88" s="82">
        <f t="shared" si="278"/>
        <v>8.9908000000000001</v>
      </c>
      <c r="BE88" s="82"/>
      <c r="BF88" s="43">
        <f t="shared" si="279"/>
        <v>8.9908000000000001</v>
      </c>
      <c r="BG88" s="1">
        <f t="shared" si="203"/>
        <v>7.4219199999999992</v>
      </c>
      <c r="BH88" s="83">
        <f t="shared" si="280"/>
        <v>2.34</v>
      </c>
      <c r="BI88" s="21">
        <f t="shared" si="281"/>
        <v>4.68</v>
      </c>
      <c r="BJ88" s="1">
        <v>117</v>
      </c>
      <c r="BL88" s="1">
        <v>20000</v>
      </c>
      <c r="BQ88" s="1">
        <v>2342</v>
      </c>
      <c r="BR88" s="1">
        <f t="shared" si="282"/>
        <v>2.3420000000000001</v>
      </c>
      <c r="BS88" s="55"/>
      <c r="BT88" s="1">
        <v>31.2</v>
      </c>
      <c r="BV88" s="1">
        <v>370</v>
      </c>
      <c r="BW88" s="27">
        <f t="shared" si="207"/>
        <v>4.51694</v>
      </c>
      <c r="BX88" s="1">
        <f t="shared" si="283"/>
        <v>3.6503999999999999</v>
      </c>
      <c r="BZ88" s="21">
        <f t="shared" si="284"/>
        <v>3.6503999999999999</v>
      </c>
      <c r="CA88" s="1">
        <f t="shared" si="210"/>
        <v>0.86653999999999998</v>
      </c>
      <c r="CB88" s="40">
        <f t="shared" si="285"/>
        <v>59.398496240601503</v>
      </c>
      <c r="CC88" s="39" t="b">
        <f t="shared" si="286"/>
        <v>1</v>
      </c>
      <c r="CD88" s="39" t="b">
        <f t="shared" si="287"/>
        <v>1</v>
      </c>
      <c r="CE88" s="38">
        <f t="shared" si="265"/>
        <v>88.324584474098359</v>
      </c>
      <c r="CF88" s="35" t="b">
        <f t="shared" si="288"/>
        <v>1</v>
      </c>
      <c r="CG88" s="35" t="b">
        <f t="shared" si="289"/>
        <v>1</v>
      </c>
      <c r="CH88" s="17">
        <f t="shared" si="290"/>
        <v>70.304568527918789</v>
      </c>
      <c r="CI88" s="16">
        <f t="shared" si="266"/>
        <v>86.115722077306131</v>
      </c>
      <c r="CJ88" s="35" t="b">
        <f t="shared" si="291"/>
        <v>1</v>
      </c>
      <c r="CK88" s="35" t="b">
        <f t="shared" si="292"/>
        <v>1</v>
      </c>
      <c r="CL88" s="37">
        <f t="shared" si="293"/>
        <v>30.76923076923077</v>
      </c>
      <c r="CM88" s="36">
        <f t="shared" si="222"/>
        <v>72.479028460852319</v>
      </c>
      <c r="CN88" s="35" t="b">
        <f t="shared" si="294"/>
        <v>1</v>
      </c>
      <c r="CO88" s="35" t="b">
        <f t="shared" si="295"/>
        <v>1</v>
      </c>
      <c r="CP88" s="1">
        <f t="shared" si="225"/>
        <v>1994</v>
      </c>
      <c r="CQ88" s="22">
        <v>34471</v>
      </c>
      <c r="CR88" s="1">
        <f t="shared" si="296"/>
        <v>42</v>
      </c>
      <c r="CS88" s="1" t="str">
        <f t="shared" si="297"/>
        <v>Terbuthylazin</v>
      </c>
      <c r="CT88" s="1">
        <f t="shared" si="298"/>
        <v>10</v>
      </c>
      <c r="CU88" s="82"/>
      <c r="CV88" s="82"/>
      <c r="CW88" s="21">
        <v>0.8</v>
      </c>
      <c r="CX88" s="21">
        <v>231</v>
      </c>
      <c r="CY88" s="82" t="s">
        <v>2</v>
      </c>
      <c r="CZ88" s="33">
        <v>24</v>
      </c>
      <c r="DA88" s="1">
        <f t="shared" si="299"/>
        <v>394</v>
      </c>
      <c r="DB88" s="3">
        <v>12.3239436619718</v>
      </c>
      <c r="DC88" s="3" t="s">
        <v>1</v>
      </c>
      <c r="DD88" s="32">
        <f t="shared" si="300"/>
        <v>1.8480000000000001</v>
      </c>
      <c r="DE88" s="32">
        <f t="shared" si="301"/>
        <v>12.63952236207394</v>
      </c>
      <c r="DF88" s="1">
        <f t="shared" si="232"/>
        <v>0.92668364965765959</v>
      </c>
      <c r="DG88" s="1">
        <f t="shared" si="267"/>
        <v>4.0536781749420623</v>
      </c>
      <c r="DH88" s="2">
        <f t="shared" si="234"/>
        <v>0.80212432106216092</v>
      </c>
      <c r="DI88" s="82">
        <f t="shared" si="302"/>
        <v>79.851251130126727</v>
      </c>
      <c r="DJ88" s="31">
        <f t="shared" si="236"/>
        <v>3.3069577355154656</v>
      </c>
      <c r="DK88" s="31">
        <f t="shared" si="303"/>
        <v>2.652591228381604</v>
      </c>
      <c r="DL88" s="31">
        <f t="shared" si="304"/>
        <v>0.65436650713386157</v>
      </c>
      <c r="DM88" s="35">
        <f t="shared" si="239"/>
        <v>70.496605103198775</v>
      </c>
      <c r="DN88" s="35">
        <f t="shared" si="240"/>
        <v>91.183325781821125</v>
      </c>
      <c r="DO88" s="82">
        <v>24.79</v>
      </c>
      <c r="DP88" s="82">
        <f t="shared" si="305"/>
        <v>37.964467005076152</v>
      </c>
      <c r="DQ88" s="82">
        <f t="shared" si="306"/>
        <v>44.78017548019919</v>
      </c>
      <c r="DR88" s="7">
        <f t="shared" si="57"/>
        <v>-6.3233913551486145</v>
      </c>
      <c r="DS88" s="6">
        <f t="shared" si="307"/>
        <v>-21.36</v>
      </c>
      <c r="DT88" s="5">
        <f t="shared" si="105"/>
        <v>308.5097744360902</v>
      </c>
      <c r="DU88" s="5">
        <f t="shared" si="106"/>
        <v>376.88028169014029</v>
      </c>
      <c r="DV88" s="5">
        <f t="shared" si="107"/>
        <v>200.17206400000001</v>
      </c>
      <c r="DW88" s="5">
        <f t="shared" si="108"/>
        <v>77.454456952949428</v>
      </c>
      <c r="DX88" s="5">
        <f t="shared" si="109"/>
        <v>79.025712120129953</v>
      </c>
      <c r="DY88" s="5">
        <f t="shared" si="110"/>
        <v>72.766781688469152</v>
      </c>
      <c r="DZ88" s="5">
        <f t="shared" si="111"/>
        <v>0</v>
      </c>
      <c r="EA88" s="5">
        <f t="shared" si="112"/>
        <v>1.5712551671805102</v>
      </c>
      <c r="EB88" s="5">
        <f t="shared" si="113"/>
        <v>-4.6876752644802906</v>
      </c>
      <c r="EC88" s="16">
        <f t="shared" si="59"/>
        <v>77.454456952949442</v>
      </c>
      <c r="ED88" s="3">
        <f t="shared" si="114"/>
        <v>12.712383147208122</v>
      </c>
      <c r="EE88" s="16">
        <f t="shared" si="60"/>
        <v>3.7003368527918781</v>
      </c>
      <c r="EF88" s="16">
        <f t="shared" si="308"/>
        <v>14.525999999999998</v>
      </c>
      <c r="EG88" s="16">
        <f t="shared" si="309"/>
        <v>277</v>
      </c>
      <c r="EH88" s="16">
        <f t="shared" si="310"/>
        <v>2.2819289340101526E-2</v>
      </c>
      <c r="EI88" s="20">
        <f t="shared" si="311"/>
        <v>3.1747426155246901</v>
      </c>
      <c r="EJ88" s="26">
        <f t="shared" si="115"/>
        <v>0.52559423726718779</v>
      </c>
      <c r="EK88" s="81">
        <f t="shared" si="312"/>
        <v>64.688986346880256</v>
      </c>
      <c r="EL88" s="28">
        <f t="shared" si="313"/>
        <v>92.918352161338476</v>
      </c>
      <c r="EM88" s="80">
        <f t="shared" si="314"/>
        <v>72.943474401399243</v>
      </c>
      <c r="EN88" s="80">
        <f t="shared" si="315"/>
        <v>1</v>
      </c>
      <c r="EO88" s="80">
        <f t="shared" si="316"/>
        <v>28.056525598600761</v>
      </c>
      <c r="EP88" s="80">
        <f t="shared" si="70"/>
        <v>5.2968410962195911</v>
      </c>
      <c r="EQ88" s="26">
        <f t="shared" si="71"/>
        <v>4.4407117882266665</v>
      </c>
      <c r="ER88" s="26">
        <f t="shared" si="317"/>
        <v>3.5620029281640493</v>
      </c>
      <c r="ES88" s="26">
        <f t="shared" si="73"/>
        <v>0.87870886006261695</v>
      </c>
      <c r="ET88" s="80">
        <f t="shared" si="318"/>
        <v>60.381690971169974</v>
      </c>
      <c r="EU88" s="80">
        <f t="shared" si="319"/>
        <v>88.160626090518122</v>
      </c>
      <c r="EX88" s="2"/>
      <c r="EZ88" s="22">
        <f t="shared" si="320"/>
        <v>34513</v>
      </c>
      <c r="FA88" s="3">
        <f t="shared" si="321"/>
        <v>440</v>
      </c>
      <c r="FB88" s="3">
        <f t="shared" si="322"/>
        <v>370</v>
      </c>
      <c r="FC88" s="3" t="b">
        <v>1</v>
      </c>
      <c r="FD88" s="3" t="b">
        <v>1</v>
      </c>
      <c r="FE88" s="20">
        <f t="shared" si="79"/>
        <v>1.2113846551835645</v>
      </c>
      <c r="FF88" s="20">
        <f t="shared" si="80"/>
        <v>8.2706766917293226</v>
      </c>
      <c r="FG88" s="20">
        <f t="shared" si="81"/>
        <v>4.2126156899854594</v>
      </c>
      <c r="FH88" s="20">
        <f t="shared" si="82"/>
        <v>11.858974358974359</v>
      </c>
      <c r="FI88" s="19" t="s">
        <v>45</v>
      </c>
      <c r="FJ88" s="18" t="s">
        <v>0</v>
      </c>
      <c r="FK88" s="16">
        <f t="shared" si="323"/>
        <v>72.479028460852319</v>
      </c>
      <c r="FL88" s="17">
        <f t="shared" si="84"/>
        <v>72.479028460852319</v>
      </c>
      <c r="FM88" s="1">
        <f t="shared" si="85"/>
        <v>79.851251130126727</v>
      </c>
      <c r="FN88" s="1">
        <f t="shared" si="86"/>
        <v>77.454456952949442</v>
      </c>
      <c r="FO88" s="1">
        <f t="shared" si="327"/>
        <v>77.454456952949428</v>
      </c>
      <c r="FP88" s="1">
        <f t="shared" si="328"/>
        <v>72.766781688469152</v>
      </c>
      <c r="FQ88" s="1">
        <f t="shared" si="87"/>
        <v>72.943474401399243</v>
      </c>
      <c r="FR88" s="16">
        <f t="shared" si="268"/>
        <v>59.398496240601503</v>
      </c>
      <c r="FS88" s="17">
        <f t="shared" si="89"/>
        <v>59.398496240601503</v>
      </c>
      <c r="FT88" s="1">
        <f t="shared" si="90"/>
        <v>70.496605103198775</v>
      </c>
      <c r="FU88" s="1">
        <f t="shared" si="91"/>
        <v>64.688986346880256</v>
      </c>
      <c r="FV88" s="1">
        <f t="shared" si="92"/>
        <v>60.381690971169974</v>
      </c>
      <c r="FW88" s="16">
        <f t="shared" si="269"/>
        <v>88.324584474098359</v>
      </c>
      <c r="FX88" s="15">
        <f t="shared" si="94"/>
        <v>88.324584474098359</v>
      </c>
      <c r="FY88" s="15">
        <f t="shared" si="95"/>
        <v>91.183325781821125</v>
      </c>
      <c r="FZ88" s="15">
        <f t="shared" si="96"/>
        <v>92.918352161338476</v>
      </c>
      <c r="GA88" s="15">
        <f t="shared" si="97"/>
        <v>88.160626090518122</v>
      </c>
      <c r="GC88" s="1">
        <f t="shared" si="98"/>
        <v>70.304568527918789</v>
      </c>
      <c r="GD88" s="1">
        <f t="shared" si="99"/>
        <v>86.115722077306131</v>
      </c>
      <c r="GE88" s="17">
        <f t="shared" si="324"/>
        <v>72.479028460852319</v>
      </c>
      <c r="GF88" s="1" t="e">
        <f>IF(#REF!=FALSE,FALSE,CH88)</f>
        <v>#REF!</v>
      </c>
      <c r="GG88" s="1" t="e">
        <f>IF(#REF!=FALSE,FALSE,AN88)</f>
        <v>#REF!</v>
      </c>
      <c r="GH88" s="15" t="e">
        <f>#REF!</f>
        <v>#REF!</v>
      </c>
      <c r="GI88" s="1">
        <f t="shared" si="101"/>
        <v>86.115722077306131</v>
      </c>
      <c r="GJ88" s="1">
        <f t="shared" si="102"/>
        <v>16.867999999999999</v>
      </c>
      <c r="GK88" s="15">
        <f t="shared" si="325"/>
        <v>88.324584474098359</v>
      </c>
      <c r="GL88" s="1" t="str">
        <f t="shared" si="326"/>
        <v>TBZ</v>
      </c>
    </row>
    <row r="89" spans="1:209" s="12" customFormat="1">
      <c r="A89" s="12" t="s">
        <v>13</v>
      </c>
      <c r="B89" s="41" t="s">
        <v>12</v>
      </c>
      <c r="C89" s="41" t="s">
        <v>11</v>
      </c>
      <c r="D89" s="12" t="s">
        <v>14</v>
      </c>
      <c r="E89" s="12" t="s">
        <v>10</v>
      </c>
      <c r="F89" s="12" t="s">
        <v>9</v>
      </c>
      <c r="G89" s="12">
        <v>50</v>
      </c>
      <c r="H89" s="12">
        <v>20</v>
      </c>
      <c r="I89" s="12">
        <v>2.5</v>
      </c>
      <c r="J89" s="41">
        <f t="shared" si="270"/>
        <v>50</v>
      </c>
      <c r="K89" s="12" t="s">
        <v>35</v>
      </c>
      <c r="L89" s="12" t="s">
        <v>34</v>
      </c>
      <c r="U89" s="12" t="s">
        <v>6</v>
      </c>
      <c r="V89" s="48">
        <f t="shared" si="190"/>
        <v>1</v>
      </c>
      <c r="W89" s="12" t="s">
        <v>5</v>
      </c>
      <c r="X89" s="12">
        <v>10</v>
      </c>
      <c r="Y89" s="46" t="s">
        <v>4</v>
      </c>
      <c r="Z89" s="46" t="s">
        <v>3</v>
      </c>
      <c r="AA89" s="46"/>
      <c r="AB89" s="46">
        <v>34513</v>
      </c>
      <c r="AC89" s="46">
        <v>34513</v>
      </c>
      <c r="AD89" s="41">
        <f t="shared" si="271"/>
        <v>9</v>
      </c>
      <c r="AE89" s="41">
        <v>9</v>
      </c>
      <c r="AF89" s="41"/>
      <c r="AG89" s="46"/>
      <c r="AH89" s="46"/>
      <c r="AI89" s="12" t="b">
        <v>0</v>
      </c>
      <c r="AJ89" s="42">
        <f t="shared" si="272"/>
        <v>3.38</v>
      </c>
      <c r="AK89" s="47">
        <f t="shared" si="273"/>
        <v>3.38</v>
      </c>
      <c r="AL89" s="12">
        <v>169</v>
      </c>
      <c r="AM89" s="34">
        <f t="shared" si="194"/>
        <v>12.38</v>
      </c>
      <c r="AN89" s="41">
        <f t="shared" si="274"/>
        <v>619</v>
      </c>
      <c r="AQ89" s="46"/>
      <c r="AS89" s="79">
        <f t="shared" si="275"/>
        <v>3373.5999999999995</v>
      </c>
      <c r="AT89" s="12">
        <v>16868</v>
      </c>
      <c r="AU89" s="12">
        <v>100000</v>
      </c>
      <c r="AV89" s="12">
        <f t="shared" si="276"/>
        <v>16.867999999999999</v>
      </c>
      <c r="AW89" s="77"/>
      <c r="AX89" s="12">
        <v>53.2</v>
      </c>
      <c r="AY89" s="41">
        <f t="shared" si="277"/>
        <v>14.524717285945075</v>
      </c>
      <c r="BA89" s="44">
        <v>440</v>
      </c>
      <c r="BB89" s="64">
        <f t="shared" si="199"/>
        <v>440</v>
      </c>
      <c r="BC89" s="61">
        <f t="shared" si="200"/>
        <v>16.41272</v>
      </c>
      <c r="BD89" s="34">
        <f t="shared" si="278"/>
        <v>8.9908000000000001</v>
      </c>
      <c r="BE89" s="34"/>
      <c r="BF89" s="78">
        <f t="shared" si="279"/>
        <v>8.9908000000000001</v>
      </c>
      <c r="BG89" s="12">
        <f t="shared" si="203"/>
        <v>7.4219199999999992</v>
      </c>
      <c r="BH89" s="42">
        <f t="shared" si="280"/>
        <v>1.3</v>
      </c>
      <c r="BI89" s="41">
        <f t="shared" si="281"/>
        <v>1.3</v>
      </c>
      <c r="BJ89" s="12">
        <v>65</v>
      </c>
      <c r="BL89" s="12">
        <v>7210</v>
      </c>
      <c r="BQ89" s="12">
        <v>469</v>
      </c>
      <c r="BR89" s="12">
        <f t="shared" si="282"/>
        <v>0.46899999999999997</v>
      </c>
      <c r="BS89" s="77"/>
      <c r="BT89" s="12">
        <v>44.6</v>
      </c>
      <c r="BV89" s="12">
        <v>1230</v>
      </c>
      <c r="BW89" s="61">
        <f t="shared" si="207"/>
        <v>3.47587</v>
      </c>
      <c r="BX89" s="12">
        <f t="shared" si="283"/>
        <v>2.899</v>
      </c>
      <c r="BZ89" s="41">
        <f t="shared" si="284"/>
        <v>2.899</v>
      </c>
      <c r="CA89" s="12">
        <f t="shared" si="210"/>
        <v>0.57686999999999999</v>
      </c>
      <c r="CB89" s="76">
        <f t="shared" si="285"/>
        <v>67.755928282244071</v>
      </c>
      <c r="CC89" s="75" t="b">
        <f t="shared" si="286"/>
        <v>1</v>
      </c>
      <c r="CD89" s="75" t="b">
        <f t="shared" si="287"/>
        <v>1</v>
      </c>
      <c r="CE89" s="74">
        <f t="shared" si="265"/>
        <v>92.227482915472009</v>
      </c>
      <c r="CF89" s="69" t="b">
        <f t="shared" si="288"/>
        <v>1</v>
      </c>
      <c r="CG89" s="69" t="b">
        <f t="shared" si="289"/>
        <v>1</v>
      </c>
      <c r="CH89" s="57">
        <f t="shared" si="290"/>
        <v>89.499192245557353</v>
      </c>
      <c r="CI89" s="47">
        <f t="shared" si="266"/>
        <v>97.21958738439649</v>
      </c>
      <c r="CJ89" s="69" t="b">
        <f t="shared" si="291"/>
        <v>1</v>
      </c>
      <c r="CK89" s="69" t="b">
        <f t="shared" si="292"/>
        <v>1</v>
      </c>
      <c r="CL89" s="73">
        <f t="shared" si="293"/>
        <v>61.53846153846154</v>
      </c>
      <c r="CM89" s="72">
        <f t="shared" si="222"/>
        <v>78.822096520259905</v>
      </c>
      <c r="CN89" s="69" t="b">
        <f t="shared" si="294"/>
        <v>1</v>
      </c>
      <c r="CO89" s="69" t="b">
        <f t="shared" si="295"/>
        <v>1</v>
      </c>
      <c r="CP89" s="12">
        <f t="shared" ref="CP89:CP114" si="329">YEAR(AC89)</f>
        <v>1994</v>
      </c>
      <c r="CQ89" s="46">
        <v>34471</v>
      </c>
      <c r="CR89" s="12">
        <f t="shared" si="296"/>
        <v>42</v>
      </c>
      <c r="CS89" s="12" t="str">
        <f t="shared" si="297"/>
        <v>Terbuthylazin</v>
      </c>
      <c r="CT89" s="12">
        <f t="shared" si="298"/>
        <v>20</v>
      </c>
      <c r="CU89" s="34"/>
      <c r="CV89" s="34"/>
      <c r="CW89" s="41">
        <v>0.8</v>
      </c>
      <c r="CX89" s="41">
        <v>231</v>
      </c>
      <c r="CY89" s="34" t="s">
        <v>2</v>
      </c>
      <c r="CZ89" s="71">
        <v>24</v>
      </c>
      <c r="DA89" s="12">
        <f t="shared" si="299"/>
        <v>619</v>
      </c>
      <c r="DB89" s="64">
        <v>12.3239436619718</v>
      </c>
      <c r="DC89" s="64" t="s">
        <v>1</v>
      </c>
      <c r="DD89" s="60">
        <f t="shared" si="300"/>
        <v>1.8480000000000001</v>
      </c>
      <c r="DE89" s="60">
        <f t="shared" si="301"/>
        <v>19.857523710974032</v>
      </c>
      <c r="DF89" s="12">
        <f t="shared" ref="DF89:DF114" si="330">DE89/(1+DE89)</f>
        <v>0.95205566998953683</v>
      </c>
      <c r="DG89" s="12">
        <f t="shared" si="267"/>
        <v>11.245811757538865</v>
      </c>
      <c r="DH89" s="12">
        <f t="shared" si="234"/>
        <v>0.91833942740591512</v>
      </c>
      <c r="DI89" s="34">
        <f t="shared" si="302"/>
        <v>94.962479599591504</v>
      </c>
      <c r="DJ89" s="70">
        <f t="shared" si="236"/>
        <v>0.82679411826192628</v>
      </c>
      <c r="DK89" s="70">
        <f t="shared" si="303"/>
        <v>0.75927763714723584</v>
      </c>
      <c r="DL89" s="70">
        <f t="shared" si="304"/>
        <v>6.7516481114690399E-2</v>
      </c>
      <c r="DM89" s="69">
        <f t="shared" si="239"/>
        <v>91.554949090767948</v>
      </c>
      <c r="DN89" s="69">
        <f t="shared" si="240"/>
        <v>99.090309770050183</v>
      </c>
      <c r="DO89" s="34">
        <v>24.79</v>
      </c>
      <c r="DP89" s="34">
        <f t="shared" si="305"/>
        <v>48.329563812600973</v>
      </c>
      <c r="DQ89" s="34">
        <f t="shared" si="306"/>
        <v>50.554185439886176</v>
      </c>
      <c r="DR89" s="7">
        <f t="shared" si="57"/>
        <v>-7.3512696528956356</v>
      </c>
      <c r="DS89" s="34">
        <f t="shared" si="307"/>
        <v>-21.36</v>
      </c>
      <c r="DT89" s="5">
        <f t="shared" si="105"/>
        <v>308.5097744360902</v>
      </c>
      <c r="DU89" s="5">
        <f t="shared" si="106"/>
        <v>376.88028169014029</v>
      </c>
      <c r="DV89" s="5">
        <f t="shared" si="107"/>
        <v>200.17206400000001</v>
      </c>
      <c r="DW89" s="5">
        <f t="shared" si="108"/>
        <v>92.990396329271263</v>
      </c>
      <c r="DX89" s="5">
        <f t="shared" si="109"/>
        <v>93.757621232671582</v>
      </c>
      <c r="DY89" s="5">
        <f t="shared" si="110"/>
        <v>90.701461166425261</v>
      </c>
      <c r="DZ89" s="5">
        <f t="shared" si="111"/>
        <v>0</v>
      </c>
      <c r="EA89" s="5">
        <f t="shared" si="112"/>
        <v>0.76722490340031868</v>
      </c>
      <c r="EB89" s="5">
        <f t="shared" si="113"/>
        <v>-2.288935162846002</v>
      </c>
      <c r="EC89" s="47">
        <f t="shared" si="59"/>
        <v>92.990396329271263</v>
      </c>
      <c r="ED89" s="64">
        <f t="shared" si="114"/>
        <v>15.26225337641357</v>
      </c>
      <c r="EE89" s="47">
        <f t="shared" si="60"/>
        <v>1.1504666235864303</v>
      </c>
      <c r="EF89" s="47">
        <f t="shared" si="308"/>
        <v>16.398999999999997</v>
      </c>
      <c r="EG89" s="47">
        <f t="shared" si="309"/>
        <v>554</v>
      </c>
      <c r="EH89" s="47">
        <f t="shared" si="310"/>
        <v>1.4524717285945074E-2</v>
      </c>
      <c r="EI89" s="67">
        <f t="shared" si="311"/>
        <v>1.0856776038276468</v>
      </c>
      <c r="EJ89" s="26">
        <f t="shared" si="115"/>
        <v>6.4789019758783442E-2</v>
      </c>
      <c r="EK89" s="66">
        <f t="shared" si="312"/>
        <v>87.924571741917873</v>
      </c>
      <c r="EL89" s="66">
        <f t="shared" si="313"/>
        <v>99.127058500242754</v>
      </c>
      <c r="EM89" s="62">
        <f t="shared" si="314"/>
        <v>80.214096941612524</v>
      </c>
      <c r="EN89" s="62">
        <f t="shared" si="315"/>
        <v>1</v>
      </c>
      <c r="EO89" s="62">
        <f t="shared" si="316"/>
        <v>20.785903058387476</v>
      </c>
      <c r="EP89" s="62">
        <f t="shared" si="70"/>
        <v>4.5591559589892814</v>
      </c>
      <c r="EQ89" s="63">
        <f t="shared" si="71"/>
        <v>3.2474048684445731</v>
      </c>
      <c r="ER89" s="63">
        <f t="shared" si="317"/>
        <v>2.9822199274425705</v>
      </c>
      <c r="ES89" s="63">
        <f t="shared" si="73"/>
        <v>0.26518494100200257</v>
      </c>
      <c r="ET89" s="62">
        <f t="shared" si="318"/>
        <v>66.830316240572913</v>
      </c>
      <c r="EU89" s="62">
        <f t="shared" si="319"/>
        <v>96.427003511193845</v>
      </c>
      <c r="EZ89" s="46">
        <f t="shared" si="320"/>
        <v>34513</v>
      </c>
      <c r="FA89" s="64">
        <f t="shared" si="321"/>
        <v>440</v>
      </c>
      <c r="FB89" s="64">
        <f t="shared" si="322"/>
        <v>1230</v>
      </c>
      <c r="FC89" s="64" t="b">
        <v>1</v>
      </c>
      <c r="FD89" s="64" t="b">
        <v>1</v>
      </c>
      <c r="FE89" s="20">
        <f t="shared" si="79"/>
        <v>1.2113846551835645</v>
      </c>
      <c r="FF89" s="20">
        <f t="shared" si="80"/>
        <v>8.2706766917293226</v>
      </c>
      <c r="FG89" s="20">
        <f t="shared" si="81"/>
        <v>5.0253956697349489</v>
      </c>
      <c r="FH89" s="20">
        <f t="shared" si="82"/>
        <v>27.578475336322867</v>
      </c>
      <c r="FI89" s="41" t="s">
        <v>44</v>
      </c>
      <c r="FJ89" s="41" t="s">
        <v>0</v>
      </c>
      <c r="FK89" s="47">
        <f t="shared" si="323"/>
        <v>78.822096520259905</v>
      </c>
      <c r="FL89" s="57">
        <f t="shared" si="84"/>
        <v>78.822096520259905</v>
      </c>
      <c r="FM89" s="12">
        <f t="shared" si="85"/>
        <v>94.962479599591504</v>
      </c>
      <c r="FN89" s="12">
        <f t="shared" si="86"/>
        <v>92.990396329271263</v>
      </c>
      <c r="FO89" s="1">
        <f t="shared" si="327"/>
        <v>92.990396329271263</v>
      </c>
      <c r="FP89" s="1">
        <f t="shared" si="328"/>
        <v>90.701461166425261</v>
      </c>
      <c r="FQ89" s="12">
        <f t="shared" si="87"/>
        <v>80.214096941612524</v>
      </c>
      <c r="FR89" s="47">
        <f t="shared" si="268"/>
        <v>67.755928282244071</v>
      </c>
      <c r="FS89" s="57">
        <f t="shared" si="89"/>
        <v>67.755928282244071</v>
      </c>
      <c r="FT89" s="12">
        <f t="shared" si="90"/>
        <v>91.554949090767948</v>
      </c>
      <c r="FU89" s="12">
        <f t="shared" si="91"/>
        <v>87.924571741917873</v>
      </c>
      <c r="FV89" s="12">
        <f t="shared" si="92"/>
        <v>66.830316240572913</v>
      </c>
      <c r="FW89" s="47">
        <f t="shared" si="269"/>
        <v>92.227482915472009</v>
      </c>
      <c r="FX89" s="56">
        <f t="shared" si="94"/>
        <v>92.227482915472009</v>
      </c>
      <c r="FY89" s="56">
        <f t="shared" si="95"/>
        <v>99.090309770050183</v>
      </c>
      <c r="FZ89" s="56">
        <f t="shared" si="96"/>
        <v>99.127058500242754</v>
      </c>
      <c r="GA89" s="56">
        <f t="shared" si="97"/>
        <v>96.427003511193845</v>
      </c>
      <c r="GC89" s="12">
        <f t="shared" si="98"/>
        <v>89.499192245557353</v>
      </c>
      <c r="GD89" s="12">
        <f t="shared" si="99"/>
        <v>97.21958738439649</v>
      </c>
      <c r="GE89" s="57">
        <f t="shared" si="324"/>
        <v>78.822096520259905</v>
      </c>
      <c r="GF89" s="12" t="e">
        <f>IF(#REF!=FALSE,FALSE,CH89)</f>
        <v>#REF!</v>
      </c>
      <c r="GG89" s="12" t="e">
        <f>IF(#REF!=FALSE,FALSE,AN89)</f>
        <v>#REF!</v>
      </c>
      <c r="GH89" s="56" t="e">
        <f>#REF!</f>
        <v>#REF!</v>
      </c>
      <c r="GI89" s="12">
        <f t="shared" si="101"/>
        <v>97.21958738439649</v>
      </c>
      <c r="GJ89" s="12">
        <f t="shared" si="102"/>
        <v>16.867999999999999</v>
      </c>
      <c r="GK89" s="56">
        <f t="shared" si="325"/>
        <v>92.227482915472009</v>
      </c>
      <c r="GL89" s="12" t="str">
        <f t="shared" si="326"/>
        <v>TBZ</v>
      </c>
    </row>
    <row r="90" spans="1:209">
      <c r="A90" t="s">
        <v>13</v>
      </c>
      <c r="B90" s="21" t="s">
        <v>12</v>
      </c>
      <c r="C90" s="21" t="s">
        <v>11</v>
      </c>
      <c r="D90" t="s">
        <v>18</v>
      </c>
      <c r="E90" t="s">
        <v>10</v>
      </c>
      <c r="F90" t="s">
        <v>9</v>
      </c>
      <c r="G90">
        <v>50</v>
      </c>
      <c r="H90">
        <v>5</v>
      </c>
      <c r="I90">
        <v>2.5</v>
      </c>
      <c r="J90" s="21">
        <f t="shared" si="270"/>
        <v>12.5</v>
      </c>
      <c r="K90" t="s">
        <v>35</v>
      </c>
      <c r="L90" t="s">
        <v>34</v>
      </c>
      <c r="U90" t="s">
        <v>6</v>
      </c>
      <c r="V90" s="53">
        <f t="shared" si="190"/>
        <v>4</v>
      </c>
      <c r="W90" t="s">
        <v>5</v>
      </c>
      <c r="X90">
        <v>10</v>
      </c>
      <c r="Y90" s="52" t="s">
        <v>4</v>
      </c>
      <c r="Z90" s="52" t="s">
        <v>3</v>
      </c>
      <c r="AA90" s="52"/>
      <c r="AB90" s="52">
        <v>34519</v>
      </c>
      <c r="AC90" s="52">
        <v>34519</v>
      </c>
      <c r="AD90" s="21">
        <f t="shared" si="271"/>
        <v>17.600000000000001</v>
      </c>
      <c r="AE90" s="21">
        <v>17.600000000000001</v>
      </c>
      <c r="AF90" s="21"/>
      <c r="AG90" s="52"/>
      <c r="AH90" s="52"/>
      <c r="AI90" t="b">
        <v>0</v>
      </c>
      <c r="AJ90" s="50">
        <f t="shared" si="272"/>
        <v>1.7280000000000002</v>
      </c>
      <c r="AK90" s="16">
        <f t="shared" si="273"/>
        <v>6.9120000000000008</v>
      </c>
      <c r="AL90">
        <v>86.4</v>
      </c>
      <c r="AM90" s="7">
        <f t="shared" si="194"/>
        <v>24.512000000000004</v>
      </c>
      <c r="AN90" s="21">
        <f t="shared" si="274"/>
        <v>306.40000000000003</v>
      </c>
      <c r="AQ90" s="52"/>
      <c r="AS90" s="45">
        <f t="shared" si="275"/>
        <v>1209</v>
      </c>
      <c r="AT90">
        <v>6045</v>
      </c>
      <c r="AU90">
        <v>70000</v>
      </c>
      <c r="AV90">
        <f t="shared" si="276"/>
        <v>6.0449999999999999</v>
      </c>
      <c r="AW90" s="55"/>
      <c r="AX90">
        <v>46.4</v>
      </c>
      <c r="AY90" s="21">
        <f t="shared" si="277"/>
        <v>13.084073107049607</v>
      </c>
      <c r="BA90" s="51">
        <v>380</v>
      </c>
      <c r="BB90" s="8">
        <f t="shared" si="199"/>
        <v>380</v>
      </c>
      <c r="BC90" s="24">
        <f t="shared" si="200"/>
        <v>6.3060600000000004</v>
      </c>
      <c r="BD90" s="7">
        <f t="shared" si="278"/>
        <v>4.0089600000000001</v>
      </c>
      <c r="BE90" s="7"/>
      <c r="BF90" s="43">
        <f t="shared" si="279"/>
        <v>4.0089600000000001</v>
      </c>
      <c r="BG90">
        <f t="shared" si="203"/>
        <v>2.2970999999999999</v>
      </c>
      <c r="BH90" s="50">
        <f t="shared" si="280"/>
        <v>1.52</v>
      </c>
      <c r="BI90" s="21">
        <f t="shared" si="281"/>
        <v>6.08</v>
      </c>
      <c r="BJ90">
        <v>76</v>
      </c>
      <c r="BL90">
        <v>86500</v>
      </c>
      <c r="BQ90">
        <v>6577</v>
      </c>
      <c r="BR90">
        <f t="shared" si="282"/>
        <v>6.577</v>
      </c>
      <c r="BS90" s="54"/>
      <c r="BT90">
        <v>37.9</v>
      </c>
      <c r="BV90">
        <v>310</v>
      </c>
      <c r="BW90" s="24">
        <f t="shared" si="207"/>
        <v>4.91927</v>
      </c>
      <c r="BX90">
        <f t="shared" si="283"/>
        <v>2.8803999999999998</v>
      </c>
      <c r="BZ90" s="21">
        <f t="shared" si="284"/>
        <v>2.8803999999999998</v>
      </c>
      <c r="CA90">
        <f t="shared" si="210"/>
        <v>2.0388700000000002</v>
      </c>
      <c r="CB90" s="40">
        <f t="shared" si="285"/>
        <v>28.150941890166031</v>
      </c>
      <c r="CC90" s="39" t="b">
        <f t="shared" si="286"/>
        <v>1</v>
      </c>
      <c r="CD90" s="39" t="b">
        <f t="shared" si="287"/>
        <v>1</v>
      </c>
      <c r="CE90" s="38">
        <f t="shared" si="265"/>
        <v>11.241565452091756</v>
      </c>
      <c r="CF90" s="35" t="b">
        <f t="shared" si="288"/>
        <v>1</v>
      </c>
      <c r="CG90" s="35" t="b">
        <f t="shared" si="289"/>
        <v>1</v>
      </c>
      <c r="CH90" s="17">
        <f t="shared" si="290"/>
        <v>75.195822454308086</v>
      </c>
      <c r="CI90" s="16">
        <f t="shared" si="266"/>
        <v>-8.8006617038875099</v>
      </c>
      <c r="CJ90" s="35" t="b">
        <f t="shared" si="291"/>
        <v>0</v>
      </c>
      <c r="CK90" s="35" t="b">
        <f t="shared" si="292"/>
        <v>0</v>
      </c>
      <c r="CL90" s="37">
        <f t="shared" si="293"/>
        <v>12.037037037037043</v>
      </c>
      <c r="CM90" s="36">
        <f t="shared" si="222"/>
        <v>21.99138606356426</v>
      </c>
      <c r="CN90" s="35" t="b">
        <f t="shared" si="294"/>
        <v>1</v>
      </c>
      <c r="CO90" s="35" t="b">
        <f t="shared" si="295"/>
        <v>1</v>
      </c>
      <c r="CP90">
        <f t="shared" si="329"/>
        <v>1994</v>
      </c>
      <c r="CQ90" s="52">
        <v>34471</v>
      </c>
      <c r="CR90">
        <f t="shared" si="296"/>
        <v>48</v>
      </c>
      <c r="CS90" t="str">
        <f t="shared" si="297"/>
        <v>Terbuthylazin</v>
      </c>
      <c r="CT90">
        <f t="shared" si="298"/>
        <v>5</v>
      </c>
      <c r="CU90" s="7"/>
      <c r="CV90" s="7"/>
      <c r="CW90" s="21">
        <v>0.8</v>
      </c>
      <c r="CX90" s="21">
        <v>231</v>
      </c>
      <c r="CY90" s="7" t="s">
        <v>2</v>
      </c>
      <c r="CZ90" s="33">
        <v>24</v>
      </c>
      <c r="DA90" s="1">
        <f t="shared" si="299"/>
        <v>306.40000000000003</v>
      </c>
      <c r="DB90" s="3">
        <v>12.3239436619718</v>
      </c>
      <c r="DC90" s="3" t="s">
        <v>1</v>
      </c>
      <c r="DD90" s="32">
        <f t="shared" si="300"/>
        <v>1.8480000000000001</v>
      </c>
      <c r="DE90" s="32">
        <f t="shared" si="301"/>
        <v>27.427769363253237</v>
      </c>
      <c r="DF90">
        <f t="shared" si="330"/>
        <v>0.96482312814551552</v>
      </c>
      <c r="DG90">
        <f t="shared" si="267"/>
        <v>0.93763982710311067</v>
      </c>
      <c r="DH90" s="2">
        <f t="shared" si="234"/>
        <v>0.48390821348100549</v>
      </c>
      <c r="DI90" s="7">
        <f t="shared" si="302"/>
        <v>31.358773201462633</v>
      </c>
      <c r="DJ90" s="31">
        <f t="shared" si="236"/>
        <v>4.3285569466518456</v>
      </c>
      <c r="DK90" s="31">
        <f t="shared" si="303"/>
        <v>2.0946242590050903</v>
      </c>
      <c r="DL90" s="31">
        <f t="shared" si="304"/>
        <v>2.2339326876467553</v>
      </c>
      <c r="DM90" s="30">
        <f t="shared" si="239"/>
        <v>47.751430320953808</v>
      </c>
      <c r="DN90" s="30">
        <f t="shared" si="240"/>
        <v>2.7498721149816978</v>
      </c>
      <c r="DO90" s="7">
        <v>24.79</v>
      </c>
      <c r="DP90" s="7">
        <f t="shared" si="305"/>
        <v>40.605744125326368</v>
      </c>
      <c r="DQ90" s="7">
        <f t="shared" si="306"/>
        <v>-4.5763440860215052</v>
      </c>
      <c r="DR90" s="7">
        <f t="shared" si="57"/>
        <v>-8.1006268378422224</v>
      </c>
      <c r="DS90" s="6">
        <f t="shared" si="307"/>
        <v>-21.36</v>
      </c>
      <c r="DT90" s="5">
        <f t="shared" si="105"/>
        <v>135.90646551724137</v>
      </c>
      <c r="DU90" s="5">
        <f t="shared" si="106"/>
        <v>160.89823943661952</v>
      </c>
      <c r="DV90" s="5">
        <f t="shared" si="107"/>
        <v>97.571160000000006</v>
      </c>
      <c r="DW90" s="5">
        <f t="shared" si="108"/>
        <v>44.59853607267025</v>
      </c>
      <c r="DX90" s="5">
        <f t="shared" si="109"/>
        <v>36.304221088362482</v>
      </c>
      <c r="DY90" s="5">
        <f t="shared" si="110"/>
        <v>65.578860188320178</v>
      </c>
      <c r="DZ90" s="5">
        <f t="shared" si="111"/>
        <v>0</v>
      </c>
      <c r="EA90" s="5">
        <f t="shared" si="112"/>
        <v>-8.2943149843077677</v>
      </c>
      <c r="EB90" s="5">
        <f t="shared" si="113"/>
        <v>20.980324115649928</v>
      </c>
      <c r="EC90" s="16">
        <f t="shared" si="59"/>
        <v>44.59853607267025</v>
      </c>
      <c r="ED90" s="3">
        <f t="shared" si="114"/>
        <v>2.8124104438642297</v>
      </c>
      <c r="EE90" s="16">
        <f t="shared" si="60"/>
        <v>3.4936495561357708</v>
      </c>
      <c r="EF90" s="16">
        <f t="shared" si="308"/>
        <v>-0.53200000000000003</v>
      </c>
      <c r="EG90" s="16">
        <f t="shared" si="309"/>
        <v>230.40000000000003</v>
      </c>
      <c r="EH90" s="16">
        <f t="shared" si="310"/>
        <v>1.3084073107049607E-2</v>
      </c>
      <c r="EI90" s="20">
        <f t="shared" si="311"/>
        <v>2.0445902680797094</v>
      </c>
      <c r="EJ90" s="26">
        <f t="shared" si="115"/>
        <v>1.4490592880560613</v>
      </c>
      <c r="EK90" s="29">
        <f t="shared" si="312"/>
        <v>48.999484452832917</v>
      </c>
      <c r="EL90" s="28">
        <f t="shared" si="313"/>
        <v>36.91788393818026</v>
      </c>
      <c r="EM90" s="25">
        <f t="shared" si="314"/>
        <v>91.034872966885899</v>
      </c>
      <c r="EN90" s="25">
        <f t="shared" si="315"/>
        <v>1</v>
      </c>
      <c r="EO90" s="25">
        <f t="shared" si="316"/>
        <v>9.9651270331140935</v>
      </c>
      <c r="EP90" s="25">
        <f t="shared" si="70"/>
        <v>3.1567589444102464</v>
      </c>
      <c r="EQ90" s="26">
        <f t="shared" si="71"/>
        <v>0.56534628978439472</v>
      </c>
      <c r="ER90" s="26">
        <f t="shared" si="317"/>
        <v>0.27357571308768125</v>
      </c>
      <c r="ES90" s="26">
        <f t="shared" si="73"/>
        <v>0.29177057669671347</v>
      </c>
      <c r="ET90" s="25">
        <f t="shared" si="318"/>
        <v>93.175893172102448</v>
      </c>
      <c r="EU90" s="25">
        <f t="shared" si="319"/>
        <v>87.298307574911249</v>
      </c>
      <c r="EV90" s="1"/>
      <c r="EW90" s="1"/>
      <c r="EX90" s="2"/>
      <c r="EY90" s="1"/>
      <c r="EZ90" s="22">
        <f t="shared" si="320"/>
        <v>34519</v>
      </c>
      <c r="FA90" s="3">
        <f t="shared" si="321"/>
        <v>380</v>
      </c>
      <c r="FB90" s="3">
        <f t="shared" si="322"/>
        <v>310</v>
      </c>
      <c r="FC90" s="3" t="b">
        <v>1</v>
      </c>
      <c r="FD90" s="3" t="b">
        <v>1</v>
      </c>
      <c r="FE90" s="20">
        <f t="shared" si="79"/>
        <v>1.7452265900483219</v>
      </c>
      <c r="FF90" s="20">
        <f t="shared" si="80"/>
        <v>8.1896551724137936</v>
      </c>
      <c r="FG90" s="20">
        <f t="shared" si="81"/>
        <v>1.4127433333169843</v>
      </c>
      <c r="FH90" s="20">
        <f t="shared" si="82"/>
        <v>8.1794195250659634</v>
      </c>
      <c r="FI90" s="19" t="s">
        <v>43</v>
      </c>
      <c r="FJ90" s="18" t="s">
        <v>0</v>
      </c>
      <c r="FK90" s="16" t="b">
        <f t="shared" si="323"/>
        <v>0</v>
      </c>
      <c r="FL90" s="17"/>
      <c r="FM90" s="1"/>
      <c r="FN90" s="1"/>
      <c r="FO90" s="1"/>
      <c r="FP90" s="1"/>
      <c r="FQ90" s="1"/>
      <c r="FR90" s="16" t="b">
        <f t="shared" si="268"/>
        <v>0</v>
      </c>
      <c r="FS90" s="17" t="b">
        <f t="shared" si="89"/>
        <v>0</v>
      </c>
      <c r="FT90" s="1" t="b">
        <f t="shared" si="90"/>
        <v>0</v>
      </c>
      <c r="FU90" s="1" t="b">
        <f t="shared" si="91"/>
        <v>0</v>
      </c>
      <c r="FV90" s="1" t="b">
        <f t="shared" si="92"/>
        <v>0</v>
      </c>
      <c r="FW90" s="16" t="b">
        <f t="shared" si="269"/>
        <v>0</v>
      </c>
      <c r="FX90" s="15" t="b">
        <f t="shared" si="94"/>
        <v>0</v>
      </c>
      <c r="FY90" s="15" t="b">
        <f t="shared" si="95"/>
        <v>0</v>
      </c>
      <c r="FZ90" s="15" t="b">
        <f t="shared" si="96"/>
        <v>0</v>
      </c>
      <c r="GA90" s="15" t="b">
        <f t="shared" si="97"/>
        <v>0</v>
      </c>
      <c r="GE90" s="14">
        <f t="shared" si="324"/>
        <v>0</v>
      </c>
      <c r="GF90" t="e">
        <f>IF(#REF!=FALSE,FALSE,CH90)</f>
        <v>#REF!</v>
      </c>
      <c r="GG90" t="e">
        <f>IF(#REF!=FALSE,FALSE,AN90)</f>
        <v>#REF!</v>
      </c>
      <c r="GH90" s="13" t="e">
        <f>#REF!</f>
        <v>#REF!</v>
      </c>
      <c r="GI90" t="b">
        <f t="shared" si="101"/>
        <v>0</v>
      </c>
      <c r="GJ90" t="b">
        <f t="shared" si="102"/>
        <v>0</v>
      </c>
      <c r="GK90" s="13" t="b">
        <f t="shared" si="325"/>
        <v>0</v>
      </c>
      <c r="GL90" t="str">
        <f t="shared" si="326"/>
        <v>TBZ</v>
      </c>
      <c r="GQ90" s="1"/>
      <c r="GR90" s="1"/>
      <c r="GS90" s="1"/>
      <c r="GT90" s="1"/>
      <c r="GU90" s="1"/>
      <c r="GV90" s="1"/>
      <c r="HA90" s="1"/>
    </row>
    <row r="91" spans="1:209">
      <c r="A91" t="s">
        <v>13</v>
      </c>
      <c r="B91" s="21" t="s">
        <v>12</v>
      </c>
      <c r="C91" s="21" t="s">
        <v>11</v>
      </c>
      <c r="D91" t="s">
        <v>16</v>
      </c>
      <c r="E91" t="s">
        <v>10</v>
      </c>
      <c r="F91" t="s">
        <v>9</v>
      </c>
      <c r="G91">
        <v>50</v>
      </c>
      <c r="H91">
        <v>10</v>
      </c>
      <c r="I91">
        <v>2.5</v>
      </c>
      <c r="J91" s="21">
        <f t="shared" si="270"/>
        <v>25</v>
      </c>
      <c r="K91" t="s">
        <v>35</v>
      </c>
      <c r="L91" t="s">
        <v>34</v>
      </c>
      <c r="U91" t="s">
        <v>6</v>
      </c>
      <c r="V91" s="53">
        <f t="shared" si="190"/>
        <v>2</v>
      </c>
      <c r="W91" t="s">
        <v>5</v>
      </c>
      <c r="X91">
        <v>10</v>
      </c>
      <c r="Y91" s="52" t="s">
        <v>4</v>
      </c>
      <c r="Z91" s="52" t="s">
        <v>3</v>
      </c>
      <c r="AA91" s="52"/>
      <c r="AB91" s="52">
        <v>34519</v>
      </c>
      <c r="AC91" s="52">
        <v>34519</v>
      </c>
      <c r="AD91" s="21">
        <f t="shared" si="271"/>
        <v>17.600000000000001</v>
      </c>
      <c r="AE91" s="21">
        <v>17.600000000000001</v>
      </c>
      <c r="AF91" s="21"/>
      <c r="AG91" s="52"/>
      <c r="AH91" s="52"/>
      <c r="AI91" t="b">
        <v>0</v>
      </c>
      <c r="AJ91" s="50">
        <f t="shared" si="272"/>
        <v>1.7280000000000002</v>
      </c>
      <c r="AK91" s="16">
        <f t="shared" si="273"/>
        <v>3.4560000000000004</v>
      </c>
      <c r="AL91">
        <v>86.4</v>
      </c>
      <c r="AM91" s="7">
        <f t="shared" si="194"/>
        <v>21.056000000000004</v>
      </c>
      <c r="AN91" s="21">
        <f t="shared" si="274"/>
        <v>526.40000000000009</v>
      </c>
      <c r="AQ91" s="52"/>
      <c r="AS91" s="45">
        <f t="shared" si="275"/>
        <v>1209</v>
      </c>
      <c r="AT91">
        <v>6045</v>
      </c>
      <c r="AU91">
        <v>70000</v>
      </c>
      <c r="AV91">
        <f t="shared" si="276"/>
        <v>6.0449999999999999</v>
      </c>
      <c r="AW91" s="55"/>
      <c r="AX91">
        <v>46.4</v>
      </c>
      <c r="AY91" s="21">
        <f t="shared" si="277"/>
        <v>7.6158054711246193</v>
      </c>
      <c r="BA91" s="51">
        <v>380</v>
      </c>
      <c r="BB91" s="8">
        <f t="shared" si="199"/>
        <v>380</v>
      </c>
      <c r="BC91" s="24">
        <f t="shared" si="200"/>
        <v>6.3060600000000004</v>
      </c>
      <c r="BD91" s="7">
        <f t="shared" si="278"/>
        <v>4.0089600000000001</v>
      </c>
      <c r="BE91" s="7"/>
      <c r="BF91" s="43">
        <f t="shared" si="279"/>
        <v>4.0089600000000001</v>
      </c>
      <c r="BG91">
        <f t="shared" si="203"/>
        <v>2.2970999999999999</v>
      </c>
      <c r="BH91" s="50">
        <f t="shared" si="280"/>
        <v>0.72</v>
      </c>
      <c r="BI91" s="21">
        <f t="shared" si="281"/>
        <v>1.44</v>
      </c>
      <c r="BJ91">
        <v>36</v>
      </c>
      <c r="BL91">
        <v>24400</v>
      </c>
      <c r="BQ91">
        <v>879</v>
      </c>
      <c r="BR91">
        <f t="shared" si="282"/>
        <v>0.879</v>
      </c>
      <c r="BS91" s="54"/>
      <c r="BT91">
        <v>21.6</v>
      </c>
      <c r="BV91">
        <v>230</v>
      </c>
      <c r="BW91" s="24">
        <f t="shared" si="207"/>
        <v>0.97977000000000003</v>
      </c>
      <c r="BX91">
        <f t="shared" si="283"/>
        <v>0.77760000000000007</v>
      </c>
      <c r="BZ91" s="21">
        <f t="shared" si="284"/>
        <v>0.77760000000000007</v>
      </c>
      <c r="CA91">
        <f t="shared" si="210"/>
        <v>0.20217000000000002</v>
      </c>
      <c r="CB91" s="40">
        <f t="shared" si="285"/>
        <v>80.603448275862064</v>
      </c>
      <c r="CC91" s="39" t="b">
        <f t="shared" si="286"/>
        <v>1</v>
      </c>
      <c r="CD91" s="39" t="b">
        <f t="shared" si="287"/>
        <v>1</v>
      </c>
      <c r="CE91" s="38">
        <f t="shared" si="265"/>
        <v>91.198902964607541</v>
      </c>
      <c r="CF91" s="35" t="b">
        <f t="shared" si="288"/>
        <v>1</v>
      </c>
      <c r="CG91" s="35" t="b">
        <f t="shared" si="289"/>
        <v>1</v>
      </c>
      <c r="CH91" s="17">
        <f t="shared" si="290"/>
        <v>93.161094224924014</v>
      </c>
      <c r="CI91" s="16">
        <f t="shared" si="266"/>
        <v>85.459057071960302</v>
      </c>
      <c r="CJ91" s="35" t="b">
        <f t="shared" si="291"/>
        <v>1</v>
      </c>
      <c r="CK91" s="35" t="b">
        <f t="shared" si="292"/>
        <v>1</v>
      </c>
      <c r="CL91" s="37">
        <f t="shared" si="293"/>
        <v>58.333333333333336</v>
      </c>
      <c r="CM91" s="36">
        <f t="shared" si="222"/>
        <v>84.463040313603102</v>
      </c>
      <c r="CN91" s="35" t="b">
        <f t="shared" si="294"/>
        <v>1</v>
      </c>
      <c r="CO91" s="35" t="b">
        <f t="shared" si="295"/>
        <v>1</v>
      </c>
      <c r="CP91">
        <f t="shared" si="329"/>
        <v>1994</v>
      </c>
      <c r="CQ91" s="52">
        <v>34471</v>
      </c>
      <c r="CR91">
        <f t="shared" si="296"/>
        <v>48</v>
      </c>
      <c r="CS91" t="str">
        <f t="shared" si="297"/>
        <v>Terbuthylazin</v>
      </c>
      <c r="CT91">
        <f t="shared" si="298"/>
        <v>10</v>
      </c>
      <c r="CU91" s="7"/>
      <c r="CV91" s="7"/>
      <c r="CW91" s="21">
        <v>0.8</v>
      </c>
      <c r="CX91" s="21">
        <v>231</v>
      </c>
      <c r="CY91" s="7" t="s">
        <v>2</v>
      </c>
      <c r="CZ91" s="33">
        <v>24</v>
      </c>
      <c r="DA91" s="1">
        <f t="shared" si="299"/>
        <v>526.40000000000009</v>
      </c>
      <c r="DB91" s="3">
        <v>12.3239436619718</v>
      </c>
      <c r="DC91" s="3" t="s">
        <v>1</v>
      </c>
      <c r="DD91" s="32">
        <f t="shared" si="300"/>
        <v>1.8480000000000001</v>
      </c>
      <c r="DE91" s="32">
        <f t="shared" si="301"/>
        <v>47.121337443918094</v>
      </c>
      <c r="DF91">
        <f t="shared" si="330"/>
        <v>0.97921919769654309</v>
      </c>
      <c r="DG91">
        <f t="shared" si="267"/>
        <v>3.3232569478303353</v>
      </c>
      <c r="DH91" s="2">
        <f t="shared" si="234"/>
        <v>0.76869290628171916</v>
      </c>
      <c r="DI91" s="7">
        <f t="shared" si="302"/>
        <v>88.801284402024422</v>
      </c>
      <c r="DJ91" s="31">
        <f t="shared" si="236"/>
        <v>0.70619772483769916</v>
      </c>
      <c r="DK91" s="31">
        <f t="shared" si="303"/>
        <v>0.54284918151502881</v>
      </c>
      <c r="DL91" s="31">
        <f t="shared" si="304"/>
        <v>0.16334854332267035</v>
      </c>
      <c r="DM91" s="30">
        <f t="shared" si="239"/>
        <v>86.459102073479684</v>
      </c>
      <c r="DN91" s="30">
        <f t="shared" si="240"/>
        <v>92.888923280541974</v>
      </c>
      <c r="DO91" s="7">
        <v>24.79</v>
      </c>
      <c r="DP91" s="7">
        <f t="shared" si="305"/>
        <v>50.306990881458972</v>
      </c>
      <c r="DQ91" s="7">
        <f t="shared" si="306"/>
        <v>44.438709677419361</v>
      </c>
      <c r="DR91" s="7">
        <f t="shared" si="57"/>
        <v>-9.3744161568538935</v>
      </c>
      <c r="DS91" s="6">
        <f t="shared" si="307"/>
        <v>-21.36</v>
      </c>
      <c r="DT91" s="5">
        <f t="shared" si="105"/>
        <v>135.90646551724137</v>
      </c>
      <c r="DU91" s="5">
        <f t="shared" si="106"/>
        <v>160.89823943661952</v>
      </c>
      <c r="DV91" s="5">
        <f t="shared" si="107"/>
        <v>97.571160000000006</v>
      </c>
      <c r="DW91" s="5">
        <f t="shared" si="108"/>
        <v>90.355483503796577</v>
      </c>
      <c r="DX91" s="5">
        <f t="shared" si="109"/>
        <v>89.594938311842981</v>
      </c>
      <c r="DY91" s="5">
        <f t="shared" si="110"/>
        <v>92.279269212679594</v>
      </c>
      <c r="DZ91" s="5">
        <f t="shared" si="111"/>
        <v>0</v>
      </c>
      <c r="EA91" s="5">
        <f t="shared" si="112"/>
        <v>-0.7605451919535966</v>
      </c>
      <c r="EB91" s="5">
        <f t="shared" si="113"/>
        <v>1.9237857088830168</v>
      </c>
      <c r="EC91" s="16">
        <f t="shared" si="59"/>
        <v>90.355483503796577</v>
      </c>
      <c r="ED91" s="3">
        <f t="shared" si="114"/>
        <v>5.6978710030395145</v>
      </c>
      <c r="EE91" s="16">
        <f t="shared" si="60"/>
        <v>0.60818899696048589</v>
      </c>
      <c r="EF91" s="16">
        <f t="shared" si="308"/>
        <v>5.1660000000000004</v>
      </c>
      <c r="EG91" s="16">
        <f t="shared" si="309"/>
        <v>490.40000000000009</v>
      </c>
      <c r="EH91" s="16">
        <f t="shared" si="310"/>
        <v>7.6158054711246191E-3</v>
      </c>
      <c r="EI91" s="20">
        <f t="shared" si="311"/>
        <v>0.50683933533031778</v>
      </c>
      <c r="EJ91" s="26">
        <f t="shared" si="115"/>
        <v>0.10134966163016808</v>
      </c>
      <c r="EK91" s="29">
        <f t="shared" si="312"/>
        <v>87.357336183690592</v>
      </c>
      <c r="EL91" s="28">
        <f t="shared" si="313"/>
        <v>95.587929927727671</v>
      </c>
      <c r="EM91" s="25">
        <f t="shared" si="314"/>
        <v>83.853780390625502</v>
      </c>
      <c r="EN91" s="25">
        <f t="shared" si="315"/>
        <v>1</v>
      </c>
      <c r="EO91" s="25">
        <f t="shared" si="316"/>
        <v>17.146219609374505</v>
      </c>
      <c r="EP91" s="25">
        <f t="shared" si="70"/>
        <v>4.1407993925538706</v>
      </c>
      <c r="EQ91" s="26">
        <f t="shared" si="71"/>
        <v>1.0181902962989218</v>
      </c>
      <c r="ER91" s="26">
        <f t="shared" si="317"/>
        <v>0.78267565800986294</v>
      </c>
      <c r="ES91" s="26">
        <f t="shared" si="73"/>
        <v>0.23551463828905883</v>
      </c>
      <c r="ET91" s="25">
        <f t="shared" si="318"/>
        <v>80.476840427196507</v>
      </c>
      <c r="EU91" s="25">
        <f t="shared" si="319"/>
        <v>89.747305807798583</v>
      </c>
      <c r="EV91" s="1"/>
      <c r="EW91" s="1"/>
      <c r="EX91" s="2"/>
      <c r="EY91" s="1"/>
      <c r="EZ91" s="22">
        <f t="shared" si="320"/>
        <v>34519</v>
      </c>
      <c r="FA91" s="3">
        <f t="shared" si="321"/>
        <v>380</v>
      </c>
      <c r="FB91" s="3">
        <f t="shared" si="322"/>
        <v>230</v>
      </c>
      <c r="FC91" s="3" t="b">
        <v>1</v>
      </c>
      <c r="FD91" s="3" t="b">
        <v>1</v>
      </c>
      <c r="FE91" s="20">
        <f t="shared" si="79"/>
        <v>1.7452265900483219</v>
      </c>
      <c r="FF91" s="20">
        <f t="shared" si="80"/>
        <v>8.1896551724137936</v>
      </c>
      <c r="FG91" s="20">
        <f t="shared" si="81"/>
        <v>3.8462679922837215</v>
      </c>
      <c r="FH91" s="20">
        <f t="shared" si="82"/>
        <v>10.648148148148147</v>
      </c>
      <c r="FI91" s="19" t="s">
        <v>42</v>
      </c>
      <c r="FJ91" s="18" t="s">
        <v>0</v>
      </c>
      <c r="FK91" s="16">
        <f t="shared" si="323"/>
        <v>84.463040313603102</v>
      </c>
      <c r="FL91" s="17">
        <f t="shared" si="84"/>
        <v>84.463040313603102</v>
      </c>
      <c r="FM91" s="1">
        <f t="shared" si="85"/>
        <v>88.801284402024422</v>
      </c>
      <c r="FN91" s="1">
        <f t="shared" si="86"/>
        <v>90.355483503796577</v>
      </c>
      <c r="FO91" s="1">
        <f t="shared" si="327"/>
        <v>90.355483503796577</v>
      </c>
      <c r="FP91" s="1">
        <f t="shared" si="328"/>
        <v>92.279269212679594</v>
      </c>
      <c r="FQ91" s="1">
        <f t="shared" si="87"/>
        <v>83.853780390625502</v>
      </c>
      <c r="FR91" s="16">
        <f t="shared" si="268"/>
        <v>80.603448275862064</v>
      </c>
      <c r="FS91" s="17">
        <f t="shared" si="89"/>
        <v>80.603448275862064</v>
      </c>
      <c r="FT91" s="1">
        <f t="shared" si="90"/>
        <v>86.459102073479684</v>
      </c>
      <c r="FU91" s="1">
        <f t="shared" si="91"/>
        <v>87.357336183690592</v>
      </c>
      <c r="FV91" s="1">
        <f t="shared" si="92"/>
        <v>80.476840427196507</v>
      </c>
      <c r="FW91" s="16">
        <f t="shared" si="269"/>
        <v>91.198902964607541</v>
      </c>
      <c r="FX91" s="15">
        <f t="shared" si="94"/>
        <v>91.198902964607541</v>
      </c>
      <c r="FY91" s="15">
        <f t="shared" si="95"/>
        <v>92.888923280541974</v>
      </c>
      <c r="FZ91" s="15">
        <f t="shared" si="96"/>
        <v>95.587929927727671</v>
      </c>
      <c r="GA91" s="15">
        <f t="shared" si="97"/>
        <v>89.747305807798583</v>
      </c>
      <c r="GC91">
        <f t="shared" si="98"/>
        <v>93.161094224924014</v>
      </c>
      <c r="GD91">
        <f t="shared" si="99"/>
        <v>85.459057071960302</v>
      </c>
      <c r="GE91" s="14">
        <f t="shared" si="324"/>
        <v>84.463040313603102</v>
      </c>
      <c r="GF91" t="e">
        <f>IF(#REF!=FALSE,FALSE,CH91)</f>
        <v>#REF!</v>
      </c>
      <c r="GG91" t="e">
        <f>IF(#REF!=FALSE,FALSE,AN91)</f>
        <v>#REF!</v>
      </c>
      <c r="GH91" s="13" t="e">
        <f>#REF!</f>
        <v>#REF!</v>
      </c>
      <c r="GI91">
        <f t="shared" si="101"/>
        <v>85.459057071960302</v>
      </c>
      <c r="GJ91">
        <f t="shared" si="102"/>
        <v>6.0449999999999999</v>
      </c>
      <c r="GK91" s="13">
        <f t="shared" si="325"/>
        <v>91.198902964607541</v>
      </c>
      <c r="GL91" t="str">
        <f t="shared" si="326"/>
        <v>TBZ</v>
      </c>
      <c r="GQ91" s="1"/>
      <c r="GR91" s="1"/>
      <c r="GS91" s="1"/>
      <c r="GT91" s="1"/>
      <c r="GU91" s="1"/>
      <c r="GV91" s="1"/>
      <c r="HA91" s="1"/>
    </row>
    <row r="92" spans="1:209">
      <c r="A92" t="s">
        <v>13</v>
      </c>
      <c r="B92" s="21" t="s">
        <v>12</v>
      </c>
      <c r="C92" s="21" t="s">
        <v>11</v>
      </c>
      <c r="D92" t="s">
        <v>14</v>
      </c>
      <c r="E92" t="s">
        <v>10</v>
      </c>
      <c r="F92" t="s">
        <v>9</v>
      </c>
      <c r="G92">
        <v>50</v>
      </c>
      <c r="H92">
        <v>20</v>
      </c>
      <c r="I92">
        <v>2.5</v>
      </c>
      <c r="J92" s="21">
        <f t="shared" si="270"/>
        <v>50</v>
      </c>
      <c r="K92" t="s">
        <v>35</v>
      </c>
      <c r="L92" t="s">
        <v>34</v>
      </c>
      <c r="U92" t="s">
        <v>6</v>
      </c>
      <c r="V92" s="53">
        <f t="shared" si="190"/>
        <v>1</v>
      </c>
      <c r="W92" t="s">
        <v>5</v>
      </c>
      <c r="X92">
        <v>10</v>
      </c>
      <c r="Y92" s="52" t="s">
        <v>4</v>
      </c>
      <c r="Z92" s="52" t="s">
        <v>3</v>
      </c>
      <c r="AA92" s="52"/>
      <c r="AB92" s="46">
        <v>34519</v>
      </c>
      <c r="AC92" s="46">
        <v>34519</v>
      </c>
      <c r="AD92" s="21">
        <f t="shared" si="271"/>
        <v>17.600000000000001</v>
      </c>
      <c r="AE92" s="21">
        <v>17.600000000000001</v>
      </c>
      <c r="AF92" s="21"/>
      <c r="AG92" s="52"/>
      <c r="AH92" s="52"/>
      <c r="AI92" t="b">
        <v>0</v>
      </c>
      <c r="AJ92" s="50">
        <f t="shared" si="272"/>
        <v>1.7280000000000002</v>
      </c>
      <c r="AK92" s="16">
        <f t="shared" si="273"/>
        <v>1.7280000000000002</v>
      </c>
      <c r="AL92">
        <v>86.4</v>
      </c>
      <c r="AM92" s="7">
        <f t="shared" si="194"/>
        <v>19.328000000000003</v>
      </c>
      <c r="AN92" s="21">
        <f t="shared" si="274"/>
        <v>966.40000000000009</v>
      </c>
      <c r="AQ92" s="52"/>
      <c r="AS92" s="45">
        <f t="shared" si="275"/>
        <v>1209</v>
      </c>
      <c r="AT92">
        <v>6045</v>
      </c>
      <c r="AU92">
        <v>70000</v>
      </c>
      <c r="AV92">
        <f t="shared" si="276"/>
        <v>6.0449999999999999</v>
      </c>
      <c r="AW92" s="55"/>
      <c r="AX92">
        <v>46.4</v>
      </c>
      <c r="AY92" s="21">
        <f t="shared" si="277"/>
        <v>4.1483443708609267</v>
      </c>
      <c r="BA92" s="51">
        <v>380</v>
      </c>
      <c r="BB92" s="8">
        <f t="shared" si="199"/>
        <v>380</v>
      </c>
      <c r="BC92" s="24">
        <f t="shared" si="200"/>
        <v>6.3060600000000004</v>
      </c>
      <c r="BD92" s="7">
        <f t="shared" si="278"/>
        <v>4.0089600000000001</v>
      </c>
      <c r="BE92" s="7"/>
      <c r="BF92" s="43">
        <f t="shared" si="279"/>
        <v>4.0089600000000001</v>
      </c>
      <c r="BG92">
        <f t="shared" si="203"/>
        <v>2.2970999999999999</v>
      </c>
      <c r="BH92" s="50">
        <f t="shared" si="280"/>
        <v>1.38</v>
      </c>
      <c r="BI92" s="21">
        <f t="shared" si="281"/>
        <v>1.38</v>
      </c>
      <c r="BJ92">
        <v>69</v>
      </c>
      <c r="BL92">
        <v>10900</v>
      </c>
      <c r="BQ92">
        <v>750</v>
      </c>
      <c r="BR92">
        <f t="shared" si="282"/>
        <v>0.75</v>
      </c>
      <c r="BS92" s="54"/>
      <c r="BT92">
        <v>13.6</v>
      </c>
      <c r="BV92">
        <v>340</v>
      </c>
      <c r="BW92" s="24">
        <f t="shared" si="207"/>
        <v>1.1934</v>
      </c>
      <c r="BX92">
        <f t="shared" si="283"/>
        <v>0.9383999999999999</v>
      </c>
      <c r="BZ92" s="21">
        <f t="shared" si="284"/>
        <v>0.9383999999999999</v>
      </c>
      <c r="CA92">
        <f t="shared" si="210"/>
        <v>0.255</v>
      </c>
      <c r="CB92" s="40">
        <f t="shared" si="285"/>
        <v>76.592432950191579</v>
      </c>
      <c r="CC92" s="39" t="b">
        <f t="shared" si="286"/>
        <v>1</v>
      </c>
      <c r="CD92" s="39" t="b">
        <f t="shared" si="287"/>
        <v>1</v>
      </c>
      <c r="CE92" s="38">
        <f t="shared" si="265"/>
        <v>88.899046624004185</v>
      </c>
      <c r="CF92" s="35" t="b">
        <f t="shared" si="288"/>
        <v>1</v>
      </c>
      <c r="CG92" s="35" t="b">
        <f t="shared" si="289"/>
        <v>1</v>
      </c>
      <c r="CH92" s="17">
        <f t="shared" si="290"/>
        <v>92.860099337748352</v>
      </c>
      <c r="CI92" s="16">
        <f t="shared" si="266"/>
        <v>87.593052109181144</v>
      </c>
      <c r="CJ92" s="35" t="b">
        <f t="shared" si="291"/>
        <v>1</v>
      </c>
      <c r="CK92" s="35" t="b">
        <f t="shared" si="292"/>
        <v>1</v>
      </c>
      <c r="CL92" s="37">
        <f t="shared" si="293"/>
        <v>20.138888888888896</v>
      </c>
      <c r="CM92" s="36">
        <f t="shared" si="222"/>
        <v>81.075346571393226</v>
      </c>
      <c r="CN92" s="35" t="b">
        <f t="shared" si="294"/>
        <v>1</v>
      </c>
      <c r="CO92" s="35" t="b">
        <f t="shared" si="295"/>
        <v>1</v>
      </c>
      <c r="CP92">
        <f t="shared" si="329"/>
        <v>1994</v>
      </c>
      <c r="CQ92" s="52">
        <v>34471</v>
      </c>
      <c r="CR92">
        <f t="shared" si="296"/>
        <v>48</v>
      </c>
      <c r="CS92" t="str">
        <f t="shared" si="297"/>
        <v>Terbuthylazin</v>
      </c>
      <c r="CT92">
        <f t="shared" si="298"/>
        <v>20</v>
      </c>
      <c r="CU92" s="7"/>
      <c r="CV92" s="7"/>
      <c r="CW92" s="21">
        <v>0.8</v>
      </c>
      <c r="CX92" s="21">
        <v>231</v>
      </c>
      <c r="CY92" s="7" t="s">
        <v>2</v>
      </c>
      <c r="CZ92" s="33">
        <v>24</v>
      </c>
      <c r="DA92" s="1">
        <f t="shared" si="299"/>
        <v>966.40000000000009</v>
      </c>
      <c r="DB92" s="3">
        <v>12.3239436619718</v>
      </c>
      <c r="DC92" s="3" t="s">
        <v>1</v>
      </c>
      <c r="DD92" s="32">
        <f t="shared" si="300"/>
        <v>1.8480000000000001</v>
      </c>
      <c r="DE92" s="32">
        <f t="shared" si="301"/>
        <v>86.508473605247801</v>
      </c>
      <c r="DF92">
        <f t="shared" si="330"/>
        <v>0.98857253522086308</v>
      </c>
      <c r="DG92">
        <f t="shared" si="267"/>
        <v>7.4651428571428751</v>
      </c>
      <c r="DH92" s="2">
        <f t="shared" si="234"/>
        <v>0.88186850276765238</v>
      </c>
      <c r="DI92" s="7">
        <f t="shared" si="302"/>
        <v>88.301240514854541</v>
      </c>
      <c r="DJ92" s="31">
        <f t="shared" si="236"/>
        <v>0.73773079238896389</v>
      </c>
      <c r="DK92" s="31">
        <f t="shared" si="303"/>
        <v>0.6505815493296494</v>
      </c>
      <c r="DL92" s="31">
        <f t="shared" si="304"/>
        <v>8.714924305931443E-2</v>
      </c>
      <c r="DM92" s="30">
        <f t="shared" si="239"/>
        <v>83.771812406967157</v>
      </c>
      <c r="DN92" s="30">
        <f t="shared" si="240"/>
        <v>96.206118886451847</v>
      </c>
      <c r="DO92" s="7">
        <v>24.79</v>
      </c>
      <c r="DP92" s="7">
        <f t="shared" si="305"/>
        <v>50.144453642384114</v>
      </c>
      <c r="DQ92" s="7">
        <f t="shared" si="306"/>
        <v>45.548387096774199</v>
      </c>
      <c r="DR92" s="7">
        <f t="shared" si="57"/>
        <v>-10.821600224303777</v>
      </c>
      <c r="DS92" s="6">
        <f t="shared" si="307"/>
        <v>-21.36</v>
      </c>
      <c r="DT92" s="5">
        <f t="shared" si="105"/>
        <v>135.90646551724137</v>
      </c>
      <c r="DU92" s="5">
        <f t="shared" si="106"/>
        <v>160.89823943661952</v>
      </c>
      <c r="DV92" s="5">
        <f t="shared" si="107"/>
        <v>97.571160000000006</v>
      </c>
      <c r="DW92" s="5">
        <f t="shared" si="108"/>
        <v>90.941479123424074</v>
      </c>
      <c r="DX92" s="5">
        <f t="shared" si="109"/>
        <v>90.421379393193888</v>
      </c>
      <c r="DY92" s="5">
        <f t="shared" si="110"/>
        <v>92.257062258780749</v>
      </c>
      <c r="DZ92" s="5">
        <f t="shared" si="111"/>
        <v>0</v>
      </c>
      <c r="EA92" s="5">
        <f t="shared" si="112"/>
        <v>-0.52009973023017153</v>
      </c>
      <c r="EB92" s="5">
        <f t="shared" si="113"/>
        <v>1.3155831353566896</v>
      </c>
      <c r="EC92" s="16">
        <f t="shared" si="59"/>
        <v>90.94147912342406</v>
      </c>
      <c r="ED92" s="3">
        <f t="shared" si="114"/>
        <v>5.7348242384105959</v>
      </c>
      <c r="EE92" s="16">
        <f t="shared" si="60"/>
        <v>0.57123576158940459</v>
      </c>
      <c r="EF92" s="16">
        <f t="shared" si="308"/>
        <v>5.2949999999999999</v>
      </c>
      <c r="EG92" s="16">
        <f t="shared" si="309"/>
        <v>897.40000000000009</v>
      </c>
      <c r="EH92" s="16">
        <f t="shared" si="310"/>
        <v>4.148344370860927E-3</v>
      </c>
      <c r="EI92" s="20">
        <f t="shared" si="311"/>
        <v>0.52454207947703713</v>
      </c>
      <c r="EJ92" s="26">
        <f t="shared" si="115"/>
        <v>4.6693682112367442E-2</v>
      </c>
      <c r="EK92" s="29">
        <f t="shared" si="312"/>
        <v>86.91575671802569</v>
      </c>
      <c r="EL92" s="28">
        <f t="shared" si="313"/>
        <v>97.967276909478585</v>
      </c>
      <c r="EM92" s="25">
        <f t="shared" si="314"/>
        <v>83.372278359988627</v>
      </c>
      <c r="EN92" s="25">
        <f t="shared" si="315"/>
        <v>1</v>
      </c>
      <c r="EO92" s="25">
        <f t="shared" si="316"/>
        <v>17.62772164001138</v>
      </c>
      <c r="EP92" s="25">
        <f t="shared" si="70"/>
        <v>4.1985380360324687</v>
      </c>
      <c r="EQ92" s="26">
        <f t="shared" si="71"/>
        <v>1.0485541032521013</v>
      </c>
      <c r="ER92" s="26">
        <f t="shared" si="317"/>
        <v>0.92468683710580901</v>
      </c>
      <c r="ES92" s="26">
        <f t="shared" si="73"/>
        <v>0.12386726614629223</v>
      </c>
      <c r="ET92" s="25">
        <f t="shared" si="318"/>
        <v>76.934495801758843</v>
      </c>
      <c r="EU92" s="25">
        <f t="shared" si="319"/>
        <v>94.607667661560569</v>
      </c>
      <c r="EV92" s="1"/>
      <c r="EW92" s="1"/>
      <c r="EX92" s="2"/>
      <c r="EY92" s="1"/>
      <c r="EZ92" s="22">
        <f t="shared" si="320"/>
        <v>34519</v>
      </c>
      <c r="FA92" s="3">
        <f t="shared" si="321"/>
        <v>380</v>
      </c>
      <c r="FB92" s="3">
        <f t="shared" si="322"/>
        <v>340</v>
      </c>
      <c r="FC92" s="3" t="b">
        <v>1</v>
      </c>
      <c r="FD92" s="3" t="b">
        <v>1</v>
      </c>
      <c r="FE92" s="20">
        <f t="shared" si="79"/>
        <v>1.7452265900483219</v>
      </c>
      <c r="FF92" s="20">
        <f t="shared" si="80"/>
        <v>8.1896551724137936</v>
      </c>
      <c r="FG92" s="20">
        <f t="shared" si="81"/>
        <v>3.6799999999999997</v>
      </c>
      <c r="FH92" s="20">
        <f t="shared" si="82"/>
        <v>25</v>
      </c>
      <c r="FI92" s="19" t="s">
        <v>41</v>
      </c>
      <c r="FJ92" s="18" t="s">
        <v>0</v>
      </c>
      <c r="FK92" s="16">
        <f t="shared" si="323"/>
        <v>81.075346571393226</v>
      </c>
      <c r="FL92" s="17">
        <f t="shared" si="84"/>
        <v>81.075346571393226</v>
      </c>
      <c r="FM92" s="1">
        <f t="shared" si="85"/>
        <v>88.301240514854541</v>
      </c>
      <c r="FN92" s="1">
        <f t="shared" si="86"/>
        <v>90.94147912342406</v>
      </c>
      <c r="FO92" s="1">
        <f t="shared" si="327"/>
        <v>90.941479123424074</v>
      </c>
      <c r="FP92" s="1">
        <f t="shared" si="328"/>
        <v>92.257062258780749</v>
      </c>
      <c r="FQ92" s="1">
        <f t="shared" si="87"/>
        <v>83.372278359988627</v>
      </c>
      <c r="FR92" s="16">
        <f t="shared" si="268"/>
        <v>76.592432950191579</v>
      </c>
      <c r="FS92" s="17">
        <f t="shared" si="89"/>
        <v>76.592432950191579</v>
      </c>
      <c r="FT92" s="1">
        <f t="shared" si="90"/>
        <v>83.771812406967157</v>
      </c>
      <c r="FU92" s="1">
        <f t="shared" si="91"/>
        <v>86.91575671802569</v>
      </c>
      <c r="FV92" s="1">
        <f t="shared" si="92"/>
        <v>76.934495801758843</v>
      </c>
      <c r="FW92" s="16">
        <f t="shared" si="269"/>
        <v>88.899046624004185</v>
      </c>
      <c r="FX92" s="15">
        <f t="shared" si="94"/>
        <v>88.899046624004185</v>
      </c>
      <c r="FY92" s="15">
        <f t="shared" si="95"/>
        <v>96.206118886451847</v>
      </c>
      <c r="FZ92" s="15">
        <f t="shared" si="96"/>
        <v>97.967276909478585</v>
      </c>
      <c r="GA92" s="15">
        <f t="shared" si="97"/>
        <v>94.607667661560569</v>
      </c>
      <c r="GC92">
        <f t="shared" si="98"/>
        <v>92.860099337748352</v>
      </c>
      <c r="GD92">
        <f t="shared" si="99"/>
        <v>87.593052109181144</v>
      </c>
      <c r="GE92" s="14">
        <f t="shared" si="324"/>
        <v>81.075346571393226</v>
      </c>
      <c r="GF92" t="e">
        <f>IF(#REF!=FALSE,FALSE,CH92)</f>
        <v>#REF!</v>
      </c>
      <c r="GG92" t="e">
        <f>IF(#REF!=FALSE,FALSE,AN92)</f>
        <v>#REF!</v>
      </c>
      <c r="GH92" s="13" t="e">
        <f>#REF!</f>
        <v>#REF!</v>
      </c>
      <c r="GI92">
        <f t="shared" si="101"/>
        <v>87.593052109181144</v>
      </c>
      <c r="GJ92">
        <f t="shared" si="102"/>
        <v>6.0449999999999999</v>
      </c>
      <c r="GK92" s="13">
        <f t="shared" si="325"/>
        <v>88.899046624004185</v>
      </c>
      <c r="GL92" t="str">
        <f t="shared" si="326"/>
        <v>TBZ</v>
      </c>
      <c r="GQ92" s="1"/>
      <c r="GR92" s="1"/>
      <c r="GS92" s="1"/>
      <c r="GT92" s="1"/>
      <c r="GU92" s="1"/>
      <c r="GV92" s="1"/>
      <c r="HA92" s="1"/>
    </row>
    <row r="93" spans="1:209">
      <c r="A93" t="s">
        <v>13</v>
      </c>
      <c r="B93" s="21" t="s">
        <v>12</v>
      </c>
      <c r="C93" s="21" t="s">
        <v>11</v>
      </c>
      <c r="D93" t="s">
        <v>18</v>
      </c>
      <c r="E93" t="s">
        <v>10</v>
      </c>
      <c r="F93" t="s">
        <v>9</v>
      </c>
      <c r="G93">
        <v>50</v>
      </c>
      <c r="H93">
        <v>5</v>
      </c>
      <c r="I93">
        <v>2.5</v>
      </c>
      <c r="J93" s="21">
        <f t="shared" si="270"/>
        <v>12.5</v>
      </c>
      <c r="K93" t="s">
        <v>35</v>
      </c>
      <c r="L93" t="s">
        <v>34</v>
      </c>
      <c r="U93" t="s">
        <v>6</v>
      </c>
      <c r="V93" s="53">
        <f t="shared" si="190"/>
        <v>4</v>
      </c>
      <c r="W93" t="s">
        <v>5</v>
      </c>
      <c r="X93">
        <v>10</v>
      </c>
      <c r="Y93" s="52" t="s">
        <v>4</v>
      </c>
      <c r="Z93" s="52" t="s">
        <v>3</v>
      </c>
      <c r="AA93" s="52"/>
      <c r="AB93" s="52">
        <v>34520</v>
      </c>
      <c r="AC93" s="52">
        <v>34520</v>
      </c>
      <c r="AD93" s="21">
        <f t="shared" si="271"/>
        <v>18</v>
      </c>
      <c r="AE93" s="21">
        <v>18</v>
      </c>
      <c r="AF93" s="21"/>
      <c r="AG93" s="52"/>
      <c r="AH93" s="52"/>
      <c r="AI93" t="b">
        <v>0</v>
      </c>
      <c r="AJ93" s="50">
        <f t="shared" si="272"/>
        <v>0.56999999999999995</v>
      </c>
      <c r="AK93" s="16">
        <f t="shared" si="273"/>
        <v>2.2799999999999998</v>
      </c>
      <c r="AL93">
        <v>28.5</v>
      </c>
      <c r="AM93" s="7">
        <f t="shared" si="194"/>
        <v>20.28</v>
      </c>
      <c r="AN93" s="21">
        <f t="shared" si="274"/>
        <v>253.5</v>
      </c>
      <c r="AQ93" s="52"/>
      <c r="AS93" s="45">
        <f t="shared" si="275"/>
        <v>87.399999999999991</v>
      </c>
      <c r="AT93">
        <v>437</v>
      </c>
      <c r="AU93">
        <v>15400</v>
      </c>
      <c r="AV93">
        <f t="shared" si="276"/>
        <v>0.437</v>
      </c>
      <c r="AW93" s="55"/>
      <c r="AX93">
        <v>28.4</v>
      </c>
      <c r="AY93" s="21">
        <f t="shared" si="277"/>
        <v>3.1928994082840236</v>
      </c>
      <c r="BA93" s="51">
        <v>350</v>
      </c>
      <c r="BB93" s="8">
        <f t="shared" si="199"/>
        <v>350</v>
      </c>
      <c r="BC93" s="24">
        <f t="shared" si="200"/>
        <v>0.96234999999999993</v>
      </c>
      <c r="BD93" s="7">
        <f t="shared" si="278"/>
        <v>0.8093999999999999</v>
      </c>
      <c r="BE93" s="7"/>
      <c r="BF93" s="43">
        <f t="shared" si="279"/>
        <v>0.8093999999999999</v>
      </c>
      <c r="BG93">
        <f t="shared" si="203"/>
        <v>0.15295</v>
      </c>
      <c r="BH93" s="50">
        <f t="shared" si="280"/>
        <v>0.156</v>
      </c>
      <c r="BI93" s="21">
        <f t="shared" si="281"/>
        <v>0.624</v>
      </c>
      <c r="BJ93">
        <v>7.8</v>
      </c>
      <c r="BL93">
        <v>8000</v>
      </c>
      <c r="BQ93">
        <v>62.4</v>
      </c>
      <c r="BR93">
        <f t="shared" si="282"/>
        <v>6.2399999999999997E-2</v>
      </c>
      <c r="BS93" s="54"/>
      <c r="BT93">
        <v>2.7</v>
      </c>
      <c r="BV93">
        <v>190</v>
      </c>
      <c r="BW93" s="24">
        <f t="shared" si="207"/>
        <v>3.2916000000000001E-2</v>
      </c>
      <c r="BX93">
        <f t="shared" si="283"/>
        <v>2.1060000000000002E-2</v>
      </c>
      <c r="BZ93" s="21">
        <f t="shared" si="284"/>
        <v>2.1060000000000002E-2</v>
      </c>
      <c r="CA93">
        <f t="shared" si="210"/>
        <v>1.1856E-2</v>
      </c>
      <c r="CB93" s="40">
        <f t="shared" si="285"/>
        <v>97.398072646404742</v>
      </c>
      <c r="CC93" s="39" t="b">
        <f t="shared" si="286"/>
        <v>1</v>
      </c>
      <c r="CD93" s="39" t="b">
        <f t="shared" si="287"/>
        <v>1</v>
      </c>
      <c r="CE93" s="38">
        <f t="shared" si="265"/>
        <v>92.24844720496894</v>
      </c>
      <c r="CF93" s="35" t="b">
        <f t="shared" si="288"/>
        <v>1</v>
      </c>
      <c r="CG93" s="35" t="b">
        <f t="shared" si="289"/>
        <v>1</v>
      </c>
      <c r="CH93" s="17">
        <f t="shared" si="290"/>
        <v>96.92307692307692</v>
      </c>
      <c r="CI93" s="16">
        <f t="shared" si="266"/>
        <v>85.720823798626995</v>
      </c>
      <c r="CJ93" s="35" t="b">
        <f t="shared" si="291"/>
        <v>1</v>
      </c>
      <c r="CK93" s="35" t="b">
        <f t="shared" si="292"/>
        <v>1</v>
      </c>
      <c r="CL93" s="37">
        <f t="shared" si="293"/>
        <v>72.631578947368411</v>
      </c>
      <c r="CM93" s="36">
        <f t="shared" si="222"/>
        <v>96.579622798358173</v>
      </c>
      <c r="CN93" s="35" t="b">
        <f t="shared" si="294"/>
        <v>1</v>
      </c>
      <c r="CO93" s="35" t="b">
        <f t="shared" si="295"/>
        <v>1</v>
      </c>
      <c r="CP93">
        <f t="shared" si="329"/>
        <v>1994</v>
      </c>
      <c r="CQ93" s="52">
        <v>34471</v>
      </c>
      <c r="CR93">
        <f t="shared" si="296"/>
        <v>49</v>
      </c>
      <c r="CS93" t="str">
        <f t="shared" si="297"/>
        <v>Terbuthylazin</v>
      </c>
      <c r="CT93">
        <f t="shared" si="298"/>
        <v>5</v>
      </c>
      <c r="CU93" s="7"/>
      <c r="CV93" s="7"/>
      <c r="CW93" s="21">
        <v>0.8</v>
      </c>
      <c r="CX93" s="21">
        <v>231</v>
      </c>
      <c r="CY93" s="7" t="s">
        <v>2</v>
      </c>
      <c r="CZ93" s="33">
        <v>24</v>
      </c>
      <c r="DA93" s="1">
        <f t="shared" si="299"/>
        <v>253.5</v>
      </c>
      <c r="DB93" s="3">
        <v>12.3239436619718</v>
      </c>
      <c r="DC93" s="3" t="s">
        <v>1</v>
      </c>
      <c r="DD93" s="32">
        <f t="shared" si="300"/>
        <v>1.8480000000000001</v>
      </c>
      <c r="DE93" s="32">
        <f t="shared" si="301"/>
        <v>313.90234479479329</v>
      </c>
      <c r="DF93">
        <f t="shared" si="330"/>
        <v>0.99682441234074759</v>
      </c>
      <c r="DG93">
        <f t="shared" si="267"/>
        <v>10.142857142857169</v>
      </c>
      <c r="DH93" s="2">
        <f t="shared" si="234"/>
        <v>0.91025641025641046</v>
      </c>
      <c r="DI93" s="7">
        <f t="shared" si="302"/>
        <v>86.422814484096179</v>
      </c>
      <c r="DJ93" s="31">
        <f t="shared" si="236"/>
        <v>0.13066004481230042</v>
      </c>
      <c r="DK93" s="31">
        <f t="shared" si="303"/>
        <v>0.1189341433547863</v>
      </c>
      <c r="DL93" s="31">
        <f t="shared" si="304"/>
        <v>1.1725901457514114E-2</v>
      </c>
      <c r="DM93" s="30">
        <f t="shared" si="239"/>
        <v>85.305887897851946</v>
      </c>
      <c r="DN93" s="30">
        <f t="shared" si="240"/>
        <v>92.333506729314081</v>
      </c>
      <c r="DO93" s="7">
        <v>24.79</v>
      </c>
      <c r="DP93" s="7">
        <f t="shared" si="305"/>
        <v>52.338461538461537</v>
      </c>
      <c r="DQ93" s="7">
        <f t="shared" si="306"/>
        <v>44.574828375286039</v>
      </c>
      <c r="DR93" s="7">
        <f t="shared" si="57"/>
        <v>-13.920475429651386</v>
      </c>
      <c r="DS93" s="6">
        <f t="shared" si="307"/>
        <v>-21.36</v>
      </c>
      <c r="DT93" s="5">
        <f t="shared" si="105"/>
        <v>33.885563380281688</v>
      </c>
      <c r="DU93" s="5">
        <f t="shared" si="106"/>
        <v>33.885563380281674</v>
      </c>
      <c r="DV93" s="5">
        <f t="shared" si="107"/>
        <v>29.307576000000001</v>
      </c>
      <c r="DW93" s="5">
        <f t="shared" si="108"/>
        <v>95.142659595301566</v>
      </c>
      <c r="DX93" s="5">
        <f t="shared" si="109"/>
        <v>95.142659595301566</v>
      </c>
      <c r="DY93" s="5">
        <f t="shared" si="110"/>
        <v>96.614396642959903</v>
      </c>
      <c r="DZ93" s="5">
        <f t="shared" si="111"/>
        <v>0</v>
      </c>
      <c r="EA93" s="5">
        <f t="shared" si="112"/>
        <v>0</v>
      </c>
      <c r="EB93" s="5">
        <f t="shared" si="113"/>
        <v>1.4717370476583369</v>
      </c>
      <c r="EC93" s="16">
        <f t="shared" si="59"/>
        <v>95.142659595301566</v>
      </c>
      <c r="ED93" s="3">
        <f t="shared" si="114"/>
        <v>0.91560538461538454</v>
      </c>
      <c r="EE93" s="16">
        <f t="shared" si="60"/>
        <v>4.6744615384615384E-2</v>
      </c>
      <c r="EF93" s="16">
        <f t="shared" si="308"/>
        <v>0.37459999999999999</v>
      </c>
      <c r="EG93" s="16">
        <f t="shared" si="309"/>
        <v>245.7</v>
      </c>
      <c r="EH93" s="16">
        <f t="shared" si="310"/>
        <v>3.1928994082840237E-3</v>
      </c>
      <c r="EI93" s="20">
        <f t="shared" si="311"/>
        <v>4.2549585798816569E-2</v>
      </c>
      <c r="EJ93" s="26">
        <f t="shared" si="115"/>
        <v>4.1950295857988169E-3</v>
      </c>
      <c r="EK93" s="29">
        <f t="shared" si="312"/>
        <v>94.743070694487713</v>
      </c>
      <c r="EL93" s="28">
        <f t="shared" si="313"/>
        <v>97.257254275384881</v>
      </c>
      <c r="EM93" s="25">
        <f t="shared" si="314"/>
        <v>85.334842162444076</v>
      </c>
      <c r="EN93" s="25">
        <f t="shared" si="315"/>
        <v>1</v>
      </c>
      <c r="EO93" s="25">
        <f t="shared" si="316"/>
        <v>15.665157837555922</v>
      </c>
      <c r="EP93" s="25">
        <f t="shared" si="70"/>
        <v>3.9579234249232162</v>
      </c>
      <c r="EQ93" s="26">
        <f t="shared" si="71"/>
        <v>0.14113014644971938</v>
      </c>
      <c r="ER93" s="26">
        <f t="shared" si="317"/>
        <v>0.12846462048628307</v>
      </c>
      <c r="ES93" s="26">
        <f t="shared" si="73"/>
        <v>1.2665525963436326E-2</v>
      </c>
      <c r="ET93" s="25">
        <f t="shared" si="318"/>
        <v>84.128413579653682</v>
      </c>
      <c r="EU93" s="25">
        <f t="shared" si="319"/>
        <v>91.719172302428049</v>
      </c>
      <c r="EV93" s="1"/>
      <c r="EW93" s="1"/>
      <c r="EX93" s="2"/>
      <c r="EY93" s="1"/>
      <c r="EZ93" s="22">
        <f t="shared" si="320"/>
        <v>34520</v>
      </c>
      <c r="FA93" s="3">
        <f t="shared" si="321"/>
        <v>350</v>
      </c>
      <c r="FB93" s="3">
        <f t="shared" si="322"/>
        <v>190</v>
      </c>
      <c r="FC93" s="3" t="b">
        <v>1</v>
      </c>
      <c r="FD93" s="3" t="b">
        <v>1</v>
      </c>
      <c r="FE93" s="20">
        <f t="shared" si="79"/>
        <v>5.2919254658385082</v>
      </c>
      <c r="FF93" s="20">
        <f t="shared" si="80"/>
        <v>12.323943661971832</v>
      </c>
      <c r="FG93" s="20">
        <f t="shared" si="81"/>
        <v>1.7763157894736843</v>
      </c>
      <c r="FH93" s="20">
        <f t="shared" si="82"/>
        <v>70.370370370370367</v>
      </c>
      <c r="FI93" s="19" t="s">
        <v>40</v>
      </c>
      <c r="FJ93" s="18" t="s">
        <v>0</v>
      </c>
      <c r="FK93" s="16">
        <f t="shared" si="323"/>
        <v>96.579622798358173</v>
      </c>
      <c r="FL93" s="17">
        <f t="shared" si="84"/>
        <v>96.579622798358173</v>
      </c>
      <c r="FM93" s="1">
        <f t="shared" si="85"/>
        <v>86.422814484096179</v>
      </c>
      <c r="FN93" s="1">
        <f t="shared" si="86"/>
        <v>95.142659595301566</v>
      </c>
      <c r="FO93" s="1">
        <f t="shared" si="327"/>
        <v>95.142659595301566</v>
      </c>
      <c r="FP93" s="1">
        <f t="shared" si="328"/>
        <v>96.614396642959903</v>
      </c>
      <c r="FQ93" s="1">
        <f t="shared" si="87"/>
        <v>85.334842162444076</v>
      </c>
      <c r="FR93" s="16">
        <f t="shared" si="268"/>
        <v>97.398072646404742</v>
      </c>
      <c r="FS93" s="17">
        <f t="shared" si="89"/>
        <v>97.398072646404742</v>
      </c>
      <c r="FT93" s="1">
        <f t="shared" si="90"/>
        <v>85.305887897851946</v>
      </c>
      <c r="FU93" s="1">
        <f t="shared" si="91"/>
        <v>94.743070694487713</v>
      </c>
      <c r="FV93" s="1">
        <f t="shared" si="92"/>
        <v>84.128413579653682</v>
      </c>
      <c r="FW93" s="16">
        <f t="shared" si="269"/>
        <v>92.24844720496894</v>
      </c>
      <c r="FX93" s="15">
        <f t="shared" si="94"/>
        <v>92.24844720496894</v>
      </c>
      <c r="FY93" s="15">
        <f t="shared" si="95"/>
        <v>92.333506729314081</v>
      </c>
      <c r="FZ93" s="15">
        <f t="shared" si="96"/>
        <v>97.257254275384881</v>
      </c>
      <c r="GA93" s="15">
        <f t="shared" si="97"/>
        <v>91.719172302428049</v>
      </c>
      <c r="GC93">
        <f t="shared" si="98"/>
        <v>96.92307692307692</v>
      </c>
      <c r="GD93">
        <f t="shared" si="99"/>
        <v>85.720823798626995</v>
      </c>
      <c r="GE93" s="14">
        <f t="shared" si="324"/>
        <v>96.579622798358173</v>
      </c>
      <c r="GF93" t="e">
        <f>IF(#REF!=FALSE,FALSE,CH93)</f>
        <v>#REF!</v>
      </c>
      <c r="GG93" t="e">
        <f>IF(#REF!=FALSE,FALSE,AN93)</f>
        <v>#REF!</v>
      </c>
      <c r="GH93" s="13" t="e">
        <f>#REF!</f>
        <v>#REF!</v>
      </c>
      <c r="GI93">
        <f t="shared" si="101"/>
        <v>85.720823798626995</v>
      </c>
      <c r="GJ93">
        <f t="shared" si="102"/>
        <v>0.437</v>
      </c>
      <c r="GK93" s="13">
        <f t="shared" si="325"/>
        <v>92.24844720496894</v>
      </c>
      <c r="GL93" t="str">
        <f t="shared" si="326"/>
        <v>TBZ</v>
      </c>
      <c r="GQ93" s="1"/>
      <c r="GR93" s="1"/>
      <c r="GS93" s="1"/>
      <c r="GT93" s="1"/>
      <c r="GU93" s="1"/>
      <c r="GV93" s="1"/>
      <c r="HA93" s="1"/>
    </row>
    <row r="94" spans="1:209">
      <c r="A94" t="s">
        <v>13</v>
      </c>
      <c r="B94" s="21" t="s">
        <v>12</v>
      </c>
      <c r="C94" s="21" t="s">
        <v>11</v>
      </c>
      <c r="D94" t="s">
        <v>16</v>
      </c>
      <c r="E94" t="s">
        <v>10</v>
      </c>
      <c r="F94" t="s">
        <v>9</v>
      </c>
      <c r="G94">
        <v>50</v>
      </c>
      <c r="H94">
        <v>10</v>
      </c>
      <c r="I94">
        <v>2.5</v>
      </c>
      <c r="J94" s="21">
        <f t="shared" si="270"/>
        <v>25</v>
      </c>
      <c r="K94" t="s">
        <v>35</v>
      </c>
      <c r="L94" t="s">
        <v>34</v>
      </c>
      <c r="U94" t="s">
        <v>6</v>
      </c>
      <c r="V94" s="53">
        <f t="shared" si="190"/>
        <v>2</v>
      </c>
      <c r="W94" t="s">
        <v>5</v>
      </c>
      <c r="X94">
        <v>10</v>
      </c>
      <c r="Y94" s="52" t="s">
        <v>4</v>
      </c>
      <c r="Z94" s="52" t="s">
        <v>3</v>
      </c>
      <c r="AA94" s="52"/>
      <c r="AB94" s="52">
        <v>34520</v>
      </c>
      <c r="AC94" s="52">
        <v>34520</v>
      </c>
      <c r="AD94" s="21">
        <f t="shared" si="271"/>
        <v>18</v>
      </c>
      <c r="AE94" s="21">
        <v>18</v>
      </c>
      <c r="AF94" s="21"/>
      <c r="AG94" s="52"/>
      <c r="AH94" s="52"/>
      <c r="AI94" t="b">
        <v>0</v>
      </c>
      <c r="AJ94" s="50">
        <f t="shared" si="272"/>
        <v>0.56999999999999995</v>
      </c>
      <c r="AK94" s="16">
        <f t="shared" si="273"/>
        <v>1.1399999999999999</v>
      </c>
      <c r="AL94">
        <v>28.5</v>
      </c>
      <c r="AM94" s="7">
        <f t="shared" si="194"/>
        <v>19.14</v>
      </c>
      <c r="AN94" s="21">
        <f t="shared" si="274"/>
        <v>478.5</v>
      </c>
      <c r="AQ94" s="52"/>
      <c r="AS94" s="45">
        <f t="shared" si="275"/>
        <v>87.399999999999991</v>
      </c>
      <c r="AT94">
        <v>437</v>
      </c>
      <c r="AU94">
        <v>15400</v>
      </c>
      <c r="AV94">
        <f t="shared" si="276"/>
        <v>0.437</v>
      </c>
      <c r="AW94" s="55"/>
      <c r="AX94">
        <v>28.4</v>
      </c>
      <c r="AY94" s="21">
        <f t="shared" si="277"/>
        <v>1.6915360501567398</v>
      </c>
      <c r="BA94" s="51">
        <v>350</v>
      </c>
      <c r="BB94" s="8">
        <f t="shared" si="199"/>
        <v>350</v>
      </c>
      <c r="BC94" s="24">
        <f t="shared" si="200"/>
        <v>0.96234999999999993</v>
      </c>
      <c r="BD94" s="7">
        <f t="shared" si="278"/>
        <v>0.8093999999999999</v>
      </c>
      <c r="BE94" s="7"/>
      <c r="BF94" s="43">
        <f t="shared" si="279"/>
        <v>0.8093999999999999</v>
      </c>
      <c r="BG94">
        <f t="shared" si="203"/>
        <v>0.15295</v>
      </c>
      <c r="BH94" s="50">
        <f t="shared" si="280"/>
        <v>1.44E-2</v>
      </c>
      <c r="BI94" s="21">
        <f t="shared" si="281"/>
        <v>2.8799999999999999E-2</v>
      </c>
      <c r="BJ94">
        <v>0.72</v>
      </c>
      <c r="BL94">
        <v>2890</v>
      </c>
      <c r="BQ94">
        <v>2.08</v>
      </c>
      <c r="BR94">
        <f t="shared" si="282"/>
        <v>2.0800000000000003E-3</v>
      </c>
      <c r="BS94" s="54"/>
      <c r="BT94">
        <v>11.8</v>
      </c>
      <c r="BV94">
        <v>160</v>
      </c>
      <c r="BW94" s="24">
        <f t="shared" si="207"/>
        <v>8.8287999999999995E-3</v>
      </c>
      <c r="BX94">
        <f t="shared" si="283"/>
        <v>8.4960000000000001E-3</v>
      </c>
      <c r="BZ94" s="21">
        <f t="shared" si="284"/>
        <v>8.4960000000000001E-3</v>
      </c>
      <c r="CA94">
        <f t="shared" si="210"/>
        <v>3.3280000000000007E-4</v>
      </c>
      <c r="CB94" s="40">
        <f t="shared" si="285"/>
        <v>98.950333580429955</v>
      </c>
      <c r="CC94" s="39" t="b">
        <f t="shared" si="286"/>
        <v>1</v>
      </c>
      <c r="CD94" s="39" t="b">
        <f t="shared" si="287"/>
        <v>1</v>
      </c>
      <c r="CE94" s="38">
        <f t="shared" si="265"/>
        <v>99.782412553121929</v>
      </c>
      <c r="CF94" s="35" t="b">
        <f t="shared" si="288"/>
        <v>1</v>
      </c>
      <c r="CG94" s="35" t="b">
        <f t="shared" si="289"/>
        <v>1</v>
      </c>
      <c r="CH94" s="17">
        <f t="shared" si="290"/>
        <v>99.849529780564268</v>
      </c>
      <c r="CI94" s="16">
        <f t="shared" si="266"/>
        <v>99.524027459954226</v>
      </c>
      <c r="CJ94" s="35" t="b">
        <f t="shared" si="291"/>
        <v>1</v>
      </c>
      <c r="CK94" s="35" t="b">
        <f t="shared" si="292"/>
        <v>1</v>
      </c>
      <c r="CL94" s="37">
        <f t="shared" si="293"/>
        <v>97.473684210526329</v>
      </c>
      <c r="CM94" s="36">
        <f t="shared" si="222"/>
        <v>99.082579103236867</v>
      </c>
      <c r="CN94" s="35" t="b">
        <f t="shared" si="294"/>
        <v>1</v>
      </c>
      <c r="CO94" s="35" t="b">
        <f t="shared" si="295"/>
        <v>1</v>
      </c>
      <c r="CP94">
        <f t="shared" si="329"/>
        <v>1994</v>
      </c>
      <c r="CQ94" s="52">
        <v>34471</v>
      </c>
      <c r="CR94">
        <f t="shared" si="296"/>
        <v>49</v>
      </c>
      <c r="CS94" t="str">
        <f t="shared" si="297"/>
        <v>Terbuthylazin</v>
      </c>
      <c r="CT94">
        <f t="shared" si="298"/>
        <v>10</v>
      </c>
      <c r="CU94" s="7"/>
      <c r="CV94" s="7"/>
      <c r="CW94" s="21">
        <v>0.8</v>
      </c>
      <c r="CX94" s="21">
        <v>231</v>
      </c>
      <c r="CY94" s="7" t="s">
        <v>2</v>
      </c>
      <c r="CZ94" s="33">
        <v>24</v>
      </c>
      <c r="DA94" s="1">
        <f t="shared" si="299"/>
        <v>478.5</v>
      </c>
      <c r="DB94" s="3">
        <v>12.3239436619718</v>
      </c>
      <c r="DC94" s="3" t="s">
        <v>1</v>
      </c>
      <c r="DD94" s="32">
        <f t="shared" si="300"/>
        <v>1.8480000000000001</v>
      </c>
      <c r="DE94" s="32">
        <f t="shared" si="301"/>
        <v>592.51389342922516</v>
      </c>
      <c r="DF94">
        <f t="shared" si="330"/>
        <v>0.99831511947559948</v>
      </c>
      <c r="DG94">
        <f t="shared" si="267"/>
        <v>28.087912087912155</v>
      </c>
      <c r="DH94" s="2">
        <f t="shared" si="234"/>
        <v>0.96562145825462797</v>
      </c>
      <c r="DI94" s="7">
        <f t="shared" si="302"/>
        <v>93.646973652798195</v>
      </c>
      <c r="DJ94" s="31">
        <f t="shared" si="236"/>
        <v>6.1138349052296585E-2</v>
      </c>
      <c r="DK94" s="31">
        <f t="shared" si="303"/>
        <v>5.9036501767159077E-2</v>
      </c>
      <c r="DL94" s="31">
        <f t="shared" si="304"/>
        <v>2.1018472851375056E-3</v>
      </c>
      <c r="DM94" s="30">
        <f t="shared" si="239"/>
        <v>92.706140132547688</v>
      </c>
      <c r="DN94" s="30">
        <f t="shared" si="240"/>
        <v>98.625794517726376</v>
      </c>
      <c r="DO94" s="7">
        <v>24.79</v>
      </c>
      <c r="DP94" s="7">
        <f t="shared" si="305"/>
        <v>53.918746081504707</v>
      </c>
      <c r="DQ94" s="7">
        <f t="shared" si="306"/>
        <v>51.752494279176197</v>
      </c>
      <c r="DR94" s="7">
        <f t="shared" si="57"/>
        <v>-15.454266707882715</v>
      </c>
      <c r="DS94" s="6">
        <f t="shared" si="307"/>
        <v>-21.36</v>
      </c>
      <c r="DT94" s="5">
        <f t="shared" si="105"/>
        <v>33.885563380281688</v>
      </c>
      <c r="DU94" s="5">
        <f t="shared" si="106"/>
        <v>33.885563380281674</v>
      </c>
      <c r="DV94" s="5">
        <f t="shared" si="107"/>
        <v>29.307576000000001</v>
      </c>
      <c r="DW94" s="5">
        <f t="shared" si="108"/>
        <v>99.7977964403686</v>
      </c>
      <c r="DX94" s="5">
        <f t="shared" si="109"/>
        <v>99.7977964403686</v>
      </c>
      <c r="DY94" s="5">
        <f t="shared" si="110"/>
        <v>99.840560500332117</v>
      </c>
      <c r="DZ94" s="5">
        <f t="shared" si="111"/>
        <v>0</v>
      </c>
      <c r="EA94" s="5">
        <f t="shared" si="112"/>
        <v>0</v>
      </c>
      <c r="EB94" s="5">
        <f t="shared" si="113"/>
        <v>4.2764059963531054E-2</v>
      </c>
      <c r="EC94" s="16">
        <f t="shared" si="59"/>
        <v>99.797796440368586</v>
      </c>
      <c r="ED94" s="3">
        <f t="shared" si="114"/>
        <v>0.96040409404388705</v>
      </c>
      <c r="EE94" s="16">
        <f t="shared" si="60"/>
        <v>1.9459059561128811E-3</v>
      </c>
      <c r="EF94" s="16">
        <f t="shared" si="308"/>
        <v>0.43491999999999997</v>
      </c>
      <c r="EG94" s="16">
        <f t="shared" si="309"/>
        <v>477.78</v>
      </c>
      <c r="EH94" s="16">
        <f t="shared" si="310"/>
        <v>1.6915360501567399E-3</v>
      </c>
      <c r="EI94" s="20">
        <f t="shared" si="311"/>
        <v>1.8790085469680862E-3</v>
      </c>
      <c r="EJ94" s="26">
        <f t="shared" si="115"/>
        <v>6.6897409144794941E-5</v>
      </c>
      <c r="EK94" s="29">
        <f t="shared" si="312"/>
        <v>99.76785167445415</v>
      </c>
      <c r="EL94" s="28">
        <f t="shared" si="313"/>
        <v>99.956261909679782</v>
      </c>
      <c r="EM94" s="25">
        <f t="shared" si="314"/>
        <v>84.290683537984805</v>
      </c>
      <c r="EN94" s="25">
        <f t="shared" si="315"/>
        <v>1</v>
      </c>
      <c r="EO94" s="25">
        <f t="shared" si="316"/>
        <v>16.709316462015192</v>
      </c>
      <c r="EP94" s="25">
        <f t="shared" si="70"/>
        <v>4.0877030789937754</v>
      </c>
      <c r="EQ94" s="26">
        <f t="shared" si="71"/>
        <v>0.15117860697220326</v>
      </c>
      <c r="ER94" s="26">
        <f t="shared" si="317"/>
        <v>0.14598130692140218</v>
      </c>
      <c r="ES94" s="26">
        <f t="shared" si="73"/>
        <v>5.1973000508010823E-3</v>
      </c>
      <c r="ET94" s="25">
        <f t="shared" si="318"/>
        <v>81.964256619545068</v>
      </c>
      <c r="EU94" s="25">
        <f t="shared" si="319"/>
        <v>96.601961392088214</v>
      </c>
      <c r="EV94" s="1"/>
      <c r="EW94" s="1"/>
      <c r="EX94" s="2"/>
      <c r="EY94" s="1"/>
      <c r="EZ94" s="22">
        <f t="shared" si="320"/>
        <v>34520</v>
      </c>
      <c r="FA94" s="3">
        <f t="shared" si="321"/>
        <v>350</v>
      </c>
      <c r="FB94" s="3">
        <f t="shared" si="322"/>
        <v>160</v>
      </c>
      <c r="FC94" s="3" t="b">
        <v>1</v>
      </c>
      <c r="FD94" s="3" t="b">
        <v>1</v>
      </c>
      <c r="FE94" s="20">
        <f t="shared" si="79"/>
        <v>5.2919254658385082</v>
      </c>
      <c r="FF94" s="20">
        <f t="shared" si="80"/>
        <v>12.323943661971832</v>
      </c>
      <c r="FG94" s="20">
        <f t="shared" si="81"/>
        <v>25.52884615384615</v>
      </c>
      <c r="FH94" s="20">
        <f t="shared" si="82"/>
        <v>13.559322033898304</v>
      </c>
      <c r="FI94" s="19" t="s">
        <v>39</v>
      </c>
      <c r="FJ94" s="18" t="s">
        <v>0</v>
      </c>
      <c r="FK94" s="16">
        <f t="shared" si="323"/>
        <v>99.082579103236867</v>
      </c>
      <c r="FL94" s="17">
        <f t="shared" si="84"/>
        <v>99.082579103236867</v>
      </c>
      <c r="FM94" s="1">
        <f t="shared" si="85"/>
        <v>93.646973652798195</v>
      </c>
      <c r="FN94" s="1">
        <f t="shared" si="86"/>
        <v>99.797796440368586</v>
      </c>
      <c r="FO94" s="1">
        <f t="shared" si="327"/>
        <v>99.7977964403686</v>
      </c>
      <c r="FP94" s="1">
        <f t="shared" si="328"/>
        <v>99.840560500332117</v>
      </c>
      <c r="FQ94" s="1">
        <f t="shared" si="87"/>
        <v>84.290683537984805</v>
      </c>
      <c r="FR94" s="16">
        <f t="shared" si="268"/>
        <v>98.950333580429955</v>
      </c>
      <c r="FS94" s="17">
        <f t="shared" si="89"/>
        <v>98.950333580429955</v>
      </c>
      <c r="FT94" s="1">
        <f t="shared" si="90"/>
        <v>92.706140132547688</v>
      </c>
      <c r="FU94" s="1">
        <f t="shared" si="91"/>
        <v>99.76785167445415</v>
      </c>
      <c r="FV94" s="1">
        <f t="shared" si="92"/>
        <v>81.964256619545068</v>
      </c>
      <c r="FW94" s="16">
        <f t="shared" si="269"/>
        <v>99.782412553121929</v>
      </c>
      <c r="FX94" s="15">
        <f t="shared" si="94"/>
        <v>99.782412553121929</v>
      </c>
      <c r="FY94" s="15">
        <f t="shared" si="95"/>
        <v>98.625794517726376</v>
      </c>
      <c r="FZ94" s="15">
        <f t="shared" si="96"/>
        <v>99.956261909679782</v>
      </c>
      <c r="GA94" s="15">
        <f t="shared" si="97"/>
        <v>96.601961392088214</v>
      </c>
      <c r="GC94">
        <f t="shared" si="98"/>
        <v>99.849529780564268</v>
      </c>
      <c r="GD94">
        <f t="shared" si="99"/>
        <v>99.524027459954226</v>
      </c>
      <c r="GE94" s="14">
        <f t="shared" si="324"/>
        <v>99.082579103236867</v>
      </c>
      <c r="GF94" t="e">
        <f>IF(#REF!=FALSE,FALSE,CH94)</f>
        <v>#REF!</v>
      </c>
      <c r="GG94" t="e">
        <f>IF(#REF!=FALSE,FALSE,AN94)</f>
        <v>#REF!</v>
      </c>
      <c r="GH94" s="13" t="e">
        <f>#REF!</f>
        <v>#REF!</v>
      </c>
      <c r="GI94">
        <f t="shared" si="101"/>
        <v>99.524027459954226</v>
      </c>
      <c r="GJ94">
        <f t="shared" si="102"/>
        <v>0.437</v>
      </c>
      <c r="GK94" s="13">
        <f t="shared" si="325"/>
        <v>99.782412553121929</v>
      </c>
      <c r="GL94" t="str">
        <f t="shared" si="326"/>
        <v>TBZ</v>
      </c>
      <c r="GQ94" s="1"/>
      <c r="GR94" s="1"/>
      <c r="GS94" s="1"/>
      <c r="GT94" s="1"/>
      <c r="GU94" s="1"/>
      <c r="GV94" s="1"/>
      <c r="HA94" s="1"/>
    </row>
    <row r="95" spans="1:209">
      <c r="A95" t="s">
        <v>13</v>
      </c>
      <c r="B95" s="21" t="s">
        <v>12</v>
      </c>
      <c r="C95" s="21" t="s">
        <v>11</v>
      </c>
      <c r="D95" t="s">
        <v>14</v>
      </c>
      <c r="E95" t="s">
        <v>10</v>
      </c>
      <c r="F95" t="s">
        <v>9</v>
      </c>
      <c r="G95">
        <v>50</v>
      </c>
      <c r="H95">
        <v>20</v>
      </c>
      <c r="I95">
        <v>2.5</v>
      </c>
      <c r="J95" s="21">
        <f t="shared" si="270"/>
        <v>50</v>
      </c>
      <c r="K95" t="s">
        <v>35</v>
      </c>
      <c r="L95" t="s">
        <v>34</v>
      </c>
      <c r="U95" t="s">
        <v>6</v>
      </c>
      <c r="V95" s="53">
        <f t="shared" si="190"/>
        <v>1</v>
      </c>
      <c r="W95" t="s">
        <v>5</v>
      </c>
      <c r="X95">
        <v>10</v>
      </c>
      <c r="Y95" s="52" t="s">
        <v>4</v>
      </c>
      <c r="Z95" s="52" t="s">
        <v>3</v>
      </c>
      <c r="AA95" s="52"/>
      <c r="AB95" s="46">
        <v>34520</v>
      </c>
      <c r="AC95" s="46">
        <v>34520</v>
      </c>
      <c r="AD95" s="21">
        <f t="shared" si="271"/>
        <v>18</v>
      </c>
      <c r="AE95" s="21">
        <v>18</v>
      </c>
      <c r="AF95" s="21"/>
      <c r="AG95" s="52"/>
      <c r="AH95" s="52"/>
      <c r="AI95" t="b">
        <v>0</v>
      </c>
      <c r="AJ95" s="50">
        <f t="shared" si="272"/>
        <v>0.56999999999999995</v>
      </c>
      <c r="AK95" s="16">
        <f t="shared" si="273"/>
        <v>0.56999999999999995</v>
      </c>
      <c r="AL95">
        <v>28.5</v>
      </c>
      <c r="AM95" s="7">
        <f t="shared" si="194"/>
        <v>18.57</v>
      </c>
      <c r="AN95" s="21">
        <f t="shared" si="274"/>
        <v>928.5</v>
      </c>
      <c r="AQ95" s="52"/>
      <c r="AS95" s="45">
        <f t="shared" si="275"/>
        <v>87.399999999999991</v>
      </c>
      <c r="AT95">
        <v>437</v>
      </c>
      <c r="AU95">
        <v>15400</v>
      </c>
      <c r="AV95">
        <f t="shared" si="276"/>
        <v>0.437</v>
      </c>
      <c r="AW95" s="55"/>
      <c r="AX95">
        <v>28.4</v>
      </c>
      <c r="AY95" s="21">
        <f t="shared" si="277"/>
        <v>0.87172859450726981</v>
      </c>
      <c r="BA95" s="51">
        <v>350</v>
      </c>
      <c r="BB95" s="8">
        <f t="shared" si="199"/>
        <v>350</v>
      </c>
      <c r="BC95" s="24">
        <f t="shared" si="200"/>
        <v>0.96234999999999993</v>
      </c>
      <c r="BD95" s="7">
        <f t="shared" si="278"/>
        <v>0.8093999999999999</v>
      </c>
      <c r="BE95" s="7"/>
      <c r="BF95" s="43">
        <f t="shared" si="279"/>
        <v>0.8093999999999999</v>
      </c>
      <c r="BG95">
        <f t="shared" si="203"/>
        <v>0.15295</v>
      </c>
      <c r="BH95" s="50">
        <f t="shared" si="280"/>
        <v>1.1200000000000002E-2</v>
      </c>
      <c r="BI95" s="21">
        <f t="shared" si="281"/>
        <v>1.1200000000000002E-2</v>
      </c>
      <c r="BJ95">
        <v>0.56000000000000005</v>
      </c>
      <c r="BL95">
        <v>3660</v>
      </c>
      <c r="BQ95">
        <v>2.0499999999999998</v>
      </c>
      <c r="BR95">
        <f t="shared" si="282"/>
        <v>2.0499999999999997E-3</v>
      </c>
      <c r="BS95" s="54"/>
      <c r="BT95">
        <v>6.8</v>
      </c>
      <c r="BV95">
        <v>140</v>
      </c>
      <c r="BW95" s="24">
        <f t="shared" si="207"/>
        <v>4.0950000000000005E-3</v>
      </c>
      <c r="BX95">
        <f t="shared" si="283"/>
        <v>3.8080000000000002E-3</v>
      </c>
      <c r="BZ95" s="21">
        <f t="shared" si="284"/>
        <v>3.8080000000000002E-3</v>
      </c>
      <c r="CA95">
        <f t="shared" si="210"/>
        <v>2.8699999999999998E-4</v>
      </c>
      <c r="CB95" s="40">
        <f t="shared" si="285"/>
        <v>99.529528045465781</v>
      </c>
      <c r="CC95" s="39" t="b">
        <f t="shared" si="286"/>
        <v>1</v>
      </c>
      <c r="CD95" s="39" t="b">
        <f t="shared" si="287"/>
        <v>1</v>
      </c>
      <c r="CE95" s="38">
        <f t="shared" si="265"/>
        <v>99.812356979405024</v>
      </c>
      <c r="CF95" s="35" t="b">
        <f t="shared" si="288"/>
        <v>1</v>
      </c>
      <c r="CG95" s="35" t="b">
        <f t="shared" si="289"/>
        <v>1</v>
      </c>
      <c r="CH95" s="17">
        <f t="shared" si="290"/>
        <v>99.93968766828219</v>
      </c>
      <c r="CI95" s="16">
        <f t="shared" si="266"/>
        <v>99.530892448512589</v>
      </c>
      <c r="CJ95" s="35" t="b">
        <f t="shared" si="291"/>
        <v>1</v>
      </c>
      <c r="CK95" s="35" t="b">
        <f t="shared" si="292"/>
        <v>1</v>
      </c>
      <c r="CL95" s="37">
        <f t="shared" si="293"/>
        <v>98.035087719298247</v>
      </c>
      <c r="CM95" s="36">
        <f t="shared" si="222"/>
        <v>99.574479139606183</v>
      </c>
      <c r="CN95" s="35" t="b">
        <f t="shared" si="294"/>
        <v>1</v>
      </c>
      <c r="CO95" s="35" t="b">
        <f t="shared" si="295"/>
        <v>1</v>
      </c>
      <c r="CP95">
        <f t="shared" si="329"/>
        <v>1994</v>
      </c>
      <c r="CQ95" s="52">
        <v>34471</v>
      </c>
      <c r="CR95">
        <f t="shared" si="296"/>
        <v>49</v>
      </c>
      <c r="CS95" t="str">
        <f t="shared" si="297"/>
        <v>Terbuthylazin</v>
      </c>
      <c r="CT95">
        <f t="shared" si="298"/>
        <v>20</v>
      </c>
      <c r="CU95" s="7"/>
      <c r="CV95" s="7"/>
      <c r="CW95" s="21">
        <v>0.8</v>
      </c>
      <c r="CX95" s="21">
        <v>231</v>
      </c>
      <c r="CY95" s="7" t="s">
        <v>2</v>
      </c>
      <c r="CZ95" s="33">
        <v>24</v>
      </c>
      <c r="DA95" s="1">
        <f t="shared" si="299"/>
        <v>928.5</v>
      </c>
      <c r="DB95" s="3">
        <v>12.3239436619718</v>
      </c>
      <c r="DC95" s="3" t="s">
        <v>1</v>
      </c>
      <c r="DD95" s="32">
        <f t="shared" si="300"/>
        <v>1.8480000000000001</v>
      </c>
      <c r="DE95" s="32">
        <f t="shared" si="301"/>
        <v>1149.7369906980889</v>
      </c>
      <c r="DF95">
        <f t="shared" si="330"/>
        <v>0.99913099169655317</v>
      </c>
      <c r="DG95">
        <f t="shared" si="267"/>
        <v>22.165853658536648</v>
      </c>
      <c r="DH95" s="2">
        <f t="shared" si="234"/>
        <v>0.95683301747736382</v>
      </c>
      <c r="DI95" s="7">
        <f t="shared" si="302"/>
        <v>92.096953350379849</v>
      </c>
      <c r="DJ95" s="31">
        <f t="shared" si="236"/>
        <v>7.6054969432619496E-2</v>
      </c>
      <c r="DK95" s="31">
        <f t="shared" si="303"/>
        <v>7.2771905896361982E-2</v>
      </c>
      <c r="DL95" s="31">
        <f t="shared" si="304"/>
        <v>3.2830635362575186E-3</v>
      </c>
      <c r="DM95" s="30">
        <f t="shared" si="239"/>
        <v>91.009154201091917</v>
      </c>
      <c r="DN95" s="30">
        <f t="shared" si="240"/>
        <v>97.853505370214108</v>
      </c>
      <c r="DO95" s="7">
        <v>24.79</v>
      </c>
      <c r="DP95" s="7">
        <f t="shared" si="305"/>
        <v>53.967431340872388</v>
      </c>
      <c r="DQ95" s="7">
        <f t="shared" si="306"/>
        <v>51.756064073226547</v>
      </c>
      <c r="DR95" s="7">
        <f t="shared" si="57"/>
        <v>-17.056542063719089</v>
      </c>
      <c r="DS95" s="6">
        <f t="shared" si="307"/>
        <v>-21.36</v>
      </c>
      <c r="DT95" s="5">
        <f t="shared" si="105"/>
        <v>33.885563380281688</v>
      </c>
      <c r="DU95" s="5">
        <f t="shared" si="106"/>
        <v>33.885563380281674</v>
      </c>
      <c r="DV95" s="5">
        <f t="shared" si="107"/>
        <v>29.307576000000001</v>
      </c>
      <c r="DW95" s="5">
        <f t="shared" si="108"/>
        <v>99.874716266127308</v>
      </c>
      <c r="DX95" s="5">
        <f t="shared" si="109"/>
        <v>99.874716266127308</v>
      </c>
      <c r="DY95" s="5">
        <f t="shared" si="110"/>
        <v>99.928423235891017</v>
      </c>
      <c r="DZ95" s="5">
        <f t="shared" si="111"/>
        <v>0</v>
      </c>
      <c r="EA95" s="5">
        <f t="shared" si="112"/>
        <v>0</v>
      </c>
      <c r="EB95" s="5">
        <f t="shared" si="113"/>
        <v>5.3706969763723578E-2</v>
      </c>
      <c r="EC95" s="16">
        <f t="shared" si="59"/>
        <v>99.874716266127294</v>
      </c>
      <c r="ED95" s="3">
        <f t="shared" si="114"/>
        <v>0.96114433198707594</v>
      </c>
      <c r="EE95" s="16">
        <f t="shared" si="60"/>
        <v>1.2056680129239883E-3</v>
      </c>
      <c r="EF95" s="16">
        <f t="shared" si="308"/>
        <v>0.43495</v>
      </c>
      <c r="EG95" s="16">
        <f t="shared" si="309"/>
        <v>927.94</v>
      </c>
      <c r="EH95" s="16">
        <f t="shared" si="310"/>
        <v>8.717285945072698E-4</v>
      </c>
      <c r="EI95" s="20">
        <f t="shared" si="311"/>
        <v>1.1536229628819968E-3</v>
      </c>
      <c r="EJ95" s="26">
        <f t="shared" si="115"/>
        <v>5.2045050041991493E-5</v>
      </c>
      <c r="EK95" s="29">
        <f t="shared" si="312"/>
        <v>99.857471835571772</v>
      </c>
      <c r="EL95" s="28">
        <f t="shared" si="313"/>
        <v>99.965972507327876</v>
      </c>
      <c r="EM95" s="25">
        <f t="shared" si="314"/>
        <v>84.326397871755788</v>
      </c>
      <c r="EN95" s="25">
        <f t="shared" si="315"/>
        <v>1</v>
      </c>
      <c r="EO95" s="25">
        <f t="shared" si="316"/>
        <v>16.673602128244212</v>
      </c>
      <c r="EP95" s="25">
        <f t="shared" si="70"/>
        <v>4.0833322333902995</v>
      </c>
      <c r="EQ95" s="26">
        <f t="shared" si="71"/>
        <v>0.15083491008115818</v>
      </c>
      <c r="ER95" s="26">
        <f t="shared" si="317"/>
        <v>0.14432382215388143</v>
      </c>
      <c r="ES95" s="26">
        <f t="shared" si="73"/>
        <v>6.5110879272767628E-3</v>
      </c>
      <c r="ET95" s="25">
        <f t="shared" si="318"/>
        <v>82.169036057093976</v>
      </c>
      <c r="EU95" s="25">
        <f t="shared" si="319"/>
        <v>95.742995797792247</v>
      </c>
      <c r="EV95" s="1"/>
      <c r="EW95" s="1"/>
      <c r="EX95" s="2"/>
      <c r="EY95" s="1"/>
      <c r="EZ95" s="22">
        <f t="shared" si="320"/>
        <v>34520</v>
      </c>
      <c r="FA95" s="3">
        <f t="shared" si="321"/>
        <v>350</v>
      </c>
      <c r="FB95" s="3">
        <f t="shared" si="322"/>
        <v>140</v>
      </c>
      <c r="FC95" s="3" t="b">
        <v>1</v>
      </c>
      <c r="FD95" s="3" t="b">
        <v>1</v>
      </c>
      <c r="FE95" s="20">
        <f t="shared" si="79"/>
        <v>5.2919254658385082</v>
      </c>
      <c r="FF95" s="20">
        <f t="shared" si="80"/>
        <v>12.323943661971832</v>
      </c>
      <c r="FG95" s="20">
        <f t="shared" si="81"/>
        <v>13.26829268292683</v>
      </c>
      <c r="FH95" s="20">
        <f t="shared" si="82"/>
        <v>20.588235294117649</v>
      </c>
      <c r="FI95" s="19" t="s">
        <v>38</v>
      </c>
      <c r="FJ95" s="18" t="s">
        <v>0</v>
      </c>
      <c r="FK95" s="16">
        <f t="shared" si="323"/>
        <v>99.574479139606183</v>
      </c>
      <c r="FL95" s="17">
        <f t="shared" si="84"/>
        <v>99.574479139606183</v>
      </c>
      <c r="FM95" s="1">
        <f t="shared" si="85"/>
        <v>92.096953350379849</v>
      </c>
      <c r="FN95" s="1">
        <f t="shared" si="86"/>
        <v>99.874716266127294</v>
      </c>
      <c r="FO95" s="1">
        <f t="shared" si="327"/>
        <v>99.874716266127308</v>
      </c>
      <c r="FP95" s="1">
        <f t="shared" si="328"/>
        <v>99.928423235891017</v>
      </c>
      <c r="FQ95" s="1">
        <f t="shared" si="87"/>
        <v>84.326397871755788</v>
      </c>
      <c r="FR95" s="16">
        <f t="shared" si="268"/>
        <v>99.529528045465781</v>
      </c>
      <c r="FS95" s="17">
        <f t="shared" si="89"/>
        <v>99.529528045465781</v>
      </c>
      <c r="FT95" s="1">
        <f t="shared" si="90"/>
        <v>91.009154201091917</v>
      </c>
      <c r="FU95" s="1">
        <f t="shared" si="91"/>
        <v>99.857471835571772</v>
      </c>
      <c r="FV95" s="1">
        <f t="shared" si="92"/>
        <v>82.169036057093976</v>
      </c>
      <c r="FW95" s="16">
        <f t="shared" si="269"/>
        <v>99.812356979405024</v>
      </c>
      <c r="FX95" s="15">
        <f t="shared" si="94"/>
        <v>99.812356979405024</v>
      </c>
      <c r="FY95" s="15">
        <f t="shared" si="95"/>
        <v>97.853505370214108</v>
      </c>
      <c r="FZ95" s="15">
        <f t="shared" si="96"/>
        <v>99.965972507327876</v>
      </c>
      <c r="GA95" s="15">
        <f t="shared" si="97"/>
        <v>95.742995797792247</v>
      </c>
      <c r="GC95">
        <f t="shared" si="98"/>
        <v>99.93968766828219</v>
      </c>
      <c r="GD95">
        <f t="shared" si="99"/>
        <v>99.530892448512589</v>
      </c>
      <c r="GE95" s="14">
        <f t="shared" si="324"/>
        <v>99.574479139606183</v>
      </c>
      <c r="GF95" t="e">
        <f>IF(#REF!=FALSE,FALSE,CH95)</f>
        <v>#REF!</v>
      </c>
      <c r="GG95" t="e">
        <f>IF(#REF!=FALSE,FALSE,AN95)</f>
        <v>#REF!</v>
      </c>
      <c r="GH95" s="13" t="e">
        <f>#REF!</f>
        <v>#REF!</v>
      </c>
      <c r="GI95">
        <f t="shared" si="101"/>
        <v>99.530892448512589</v>
      </c>
      <c r="GJ95">
        <f t="shared" si="102"/>
        <v>0.437</v>
      </c>
      <c r="GK95" s="13">
        <f t="shared" si="325"/>
        <v>99.812356979405024</v>
      </c>
      <c r="GL95" t="str">
        <f t="shared" si="326"/>
        <v>TBZ</v>
      </c>
      <c r="GQ95" s="1"/>
      <c r="GR95" s="1"/>
      <c r="GS95" s="1"/>
      <c r="GT95" s="1"/>
      <c r="GU95" s="1"/>
      <c r="GV95" s="1"/>
      <c r="HA95" s="1"/>
    </row>
    <row r="96" spans="1:209">
      <c r="A96" t="s">
        <v>13</v>
      </c>
      <c r="B96" s="21" t="s">
        <v>12</v>
      </c>
      <c r="C96" s="21" t="s">
        <v>11</v>
      </c>
      <c r="D96" t="s">
        <v>18</v>
      </c>
      <c r="E96" t="s">
        <v>10</v>
      </c>
      <c r="F96" t="s">
        <v>9</v>
      </c>
      <c r="G96">
        <v>50</v>
      </c>
      <c r="H96">
        <v>5</v>
      </c>
      <c r="I96">
        <v>2.5</v>
      </c>
      <c r="J96" s="21">
        <f t="shared" si="270"/>
        <v>12.5</v>
      </c>
      <c r="K96" t="s">
        <v>35</v>
      </c>
      <c r="L96" t="s">
        <v>34</v>
      </c>
      <c r="U96" t="s">
        <v>6</v>
      </c>
      <c r="V96" s="53">
        <f t="shared" si="190"/>
        <v>4</v>
      </c>
      <c r="W96" t="s">
        <v>5</v>
      </c>
      <c r="X96">
        <v>10</v>
      </c>
      <c r="Y96" s="52" t="s">
        <v>4</v>
      </c>
      <c r="Z96" s="52" t="s">
        <v>3</v>
      </c>
      <c r="AA96" s="52"/>
      <c r="AB96" s="52">
        <v>34534</v>
      </c>
      <c r="AC96" s="52">
        <v>34534</v>
      </c>
      <c r="AD96" s="21">
        <f t="shared" si="271"/>
        <v>28</v>
      </c>
      <c r="AE96" s="21">
        <v>28</v>
      </c>
      <c r="AF96" s="21"/>
      <c r="AG96" s="52"/>
      <c r="AH96" s="52"/>
      <c r="AI96" t="b">
        <v>0</v>
      </c>
      <c r="AJ96" s="50">
        <f t="shared" si="272"/>
        <v>4.12</v>
      </c>
      <c r="AK96" s="16">
        <f t="shared" si="273"/>
        <v>16.48</v>
      </c>
      <c r="AL96">
        <v>206</v>
      </c>
      <c r="AM96" s="7">
        <f t="shared" si="194"/>
        <v>44.48</v>
      </c>
      <c r="AN96" s="21">
        <f t="shared" si="274"/>
        <v>556</v>
      </c>
      <c r="AQ96" s="52"/>
      <c r="AS96" s="45">
        <f t="shared" si="275"/>
        <v>4117.6000000000004</v>
      </c>
      <c r="AT96">
        <v>20588</v>
      </c>
      <c r="AU96">
        <v>100000</v>
      </c>
      <c r="AV96">
        <f t="shared" si="276"/>
        <v>20.588000000000001</v>
      </c>
      <c r="AW96" s="55"/>
      <c r="AX96">
        <v>8.73</v>
      </c>
      <c r="AY96" s="21">
        <f t="shared" si="277"/>
        <v>3.2344964028776979</v>
      </c>
      <c r="BA96" s="51">
        <v>180</v>
      </c>
      <c r="BB96" s="8">
        <f t="shared" si="199"/>
        <v>180</v>
      </c>
      <c r="BC96" s="24">
        <f t="shared" si="200"/>
        <v>5.5042200000000001</v>
      </c>
      <c r="BD96" s="7">
        <f t="shared" si="278"/>
        <v>1.7983800000000001</v>
      </c>
      <c r="BE96" s="7"/>
      <c r="BF96" s="43">
        <f t="shared" si="279"/>
        <v>1.7983800000000001</v>
      </c>
      <c r="BG96">
        <f t="shared" si="203"/>
        <v>3.7058400000000002</v>
      </c>
      <c r="BH96" s="50">
        <f t="shared" si="280"/>
        <v>5.84</v>
      </c>
      <c r="BI96" s="21">
        <f t="shared" si="281"/>
        <v>23.36</v>
      </c>
      <c r="BJ96">
        <v>292</v>
      </c>
      <c r="BL96">
        <v>50000</v>
      </c>
      <c r="BQ96">
        <v>14618</v>
      </c>
      <c r="BR96">
        <f t="shared" si="282"/>
        <v>14.618</v>
      </c>
      <c r="BS96" s="54"/>
      <c r="BT96">
        <v>8.36</v>
      </c>
      <c r="BV96">
        <v>130</v>
      </c>
      <c r="BW96" s="24">
        <f t="shared" si="207"/>
        <v>4.3414599999999997</v>
      </c>
      <c r="BX96">
        <f t="shared" si="283"/>
        <v>2.4411199999999997</v>
      </c>
      <c r="BZ96" s="21">
        <f t="shared" si="284"/>
        <v>2.4411199999999997</v>
      </c>
      <c r="CA96">
        <f t="shared" si="210"/>
        <v>1.9003400000000001</v>
      </c>
      <c r="CB96" s="40">
        <f t="shared" si="285"/>
        <v>-35.739943727132172</v>
      </c>
      <c r="CC96" s="39" t="b">
        <f t="shared" si="286"/>
        <v>0</v>
      </c>
      <c r="CD96" s="39" t="b">
        <f t="shared" si="287"/>
        <v>0</v>
      </c>
      <c r="CE96" s="38">
        <f t="shared" si="265"/>
        <v>48.720398074390694</v>
      </c>
      <c r="CF96" s="35" t="b">
        <f t="shared" si="288"/>
        <v>1</v>
      </c>
      <c r="CG96" s="35" t="b">
        <f t="shared" si="289"/>
        <v>1</v>
      </c>
      <c r="CH96" s="17">
        <f t="shared" si="290"/>
        <v>47.482014388489205</v>
      </c>
      <c r="CI96" s="16">
        <f t="shared" si="266"/>
        <v>28.997474256848648</v>
      </c>
      <c r="CJ96" s="35" t="b">
        <f t="shared" si="291"/>
        <v>1</v>
      </c>
      <c r="CK96" s="35" t="b">
        <f t="shared" si="292"/>
        <v>1</v>
      </c>
      <c r="CL96" s="37">
        <f t="shared" si="293"/>
        <v>-41.747572815533978</v>
      </c>
      <c r="CM96" s="36">
        <f t="shared" si="222"/>
        <v>21.124882362986952</v>
      </c>
      <c r="CN96" s="35" t="b">
        <f t="shared" si="294"/>
        <v>1</v>
      </c>
      <c r="CO96" s="35" t="b">
        <f t="shared" si="295"/>
        <v>1</v>
      </c>
      <c r="CP96">
        <f t="shared" si="329"/>
        <v>1994</v>
      </c>
      <c r="CQ96" s="52">
        <v>34471</v>
      </c>
      <c r="CR96">
        <f t="shared" si="296"/>
        <v>63</v>
      </c>
      <c r="CS96" t="str">
        <f t="shared" si="297"/>
        <v>Terbuthylazin</v>
      </c>
      <c r="CT96">
        <f t="shared" si="298"/>
        <v>5</v>
      </c>
      <c r="CU96" s="7"/>
      <c r="CV96" s="7"/>
      <c r="CW96" s="21">
        <v>0.8</v>
      </c>
      <c r="CX96" s="21">
        <v>231</v>
      </c>
      <c r="CY96" s="7" t="s">
        <v>2</v>
      </c>
      <c r="CZ96" s="33">
        <v>24</v>
      </c>
      <c r="DA96" s="1">
        <f t="shared" si="299"/>
        <v>556</v>
      </c>
      <c r="DB96" s="3">
        <v>12.3239436619718</v>
      </c>
      <c r="DC96" s="3" t="s">
        <v>1</v>
      </c>
      <c r="DD96" s="32">
        <f t="shared" si="300"/>
        <v>1.8480000000000001</v>
      </c>
      <c r="DE96" s="32">
        <f t="shared" si="301"/>
        <v>14.613648769467693</v>
      </c>
      <c r="DF96">
        <f t="shared" si="330"/>
        <v>0.93595347155781494</v>
      </c>
      <c r="DG96">
        <f t="shared" si="267"/>
        <v>1.6208588237593615</v>
      </c>
      <c r="DH96" s="2">
        <f t="shared" si="234"/>
        <v>0.61844568240970754</v>
      </c>
      <c r="DI96" s="7">
        <f t="shared" si="302"/>
        <v>37.498462387436781</v>
      </c>
      <c r="DJ96" s="31">
        <f t="shared" si="236"/>
        <v>3.440222133578227</v>
      </c>
      <c r="DK96" s="31">
        <f t="shared" si="303"/>
        <v>2.1275905250417662</v>
      </c>
      <c r="DL96" s="31">
        <f t="shared" si="304"/>
        <v>1.3126316085364609</v>
      </c>
      <c r="DM96" s="30">
        <f t="shared" si="239"/>
        <v>-18.3059489675022</v>
      </c>
      <c r="DN96" s="30">
        <f t="shared" si="240"/>
        <v>64.579377184755387</v>
      </c>
      <c r="DO96" s="7">
        <v>24.79</v>
      </c>
      <c r="DP96" s="7">
        <f t="shared" si="305"/>
        <v>25.640287769784173</v>
      </c>
      <c r="DQ96" s="7">
        <f t="shared" si="306"/>
        <v>15.078686613561297</v>
      </c>
      <c r="DR96" s="7">
        <f t="shared" si="57"/>
        <v>-6.6505119959086949</v>
      </c>
      <c r="DS96" s="6">
        <f t="shared" si="307"/>
        <v>-21.36</v>
      </c>
      <c r="DT96" s="5">
        <f t="shared" si="105"/>
        <v>630.49484536082468</v>
      </c>
      <c r="DU96" s="5">
        <f t="shared" si="106"/>
        <v>459.72535211267541</v>
      </c>
      <c r="DV96" s="5">
        <f t="shared" si="107"/>
        <v>244.04662400000001</v>
      </c>
      <c r="DW96" s="5">
        <f t="shared" si="108"/>
        <v>35.036881708211368</v>
      </c>
      <c r="DX96" s="5">
        <f t="shared" si="109"/>
        <v>37.28027886968777</v>
      </c>
      <c r="DY96" s="5">
        <f t="shared" si="110"/>
        <v>44.600293114600824</v>
      </c>
      <c r="DZ96" s="5">
        <f t="shared" si="111"/>
        <v>0</v>
      </c>
      <c r="EA96" s="5">
        <f t="shared" si="112"/>
        <v>2.2433971614763877</v>
      </c>
      <c r="EB96" s="5">
        <f t="shared" si="113"/>
        <v>9.5634114063894415</v>
      </c>
      <c r="EC96" s="16">
        <f t="shared" si="59"/>
        <v>35.036881708211382</v>
      </c>
      <c r="ED96" s="3">
        <f t="shared" si="114"/>
        <v>1.9285070503597126</v>
      </c>
      <c r="EE96" s="16">
        <f t="shared" si="60"/>
        <v>3.5757129496402875</v>
      </c>
      <c r="EF96" s="16">
        <f t="shared" si="308"/>
        <v>5.9700000000000006</v>
      </c>
      <c r="EG96" s="16">
        <f t="shared" si="309"/>
        <v>264</v>
      </c>
      <c r="EH96" s="16">
        <f t="shared" si="310"/>
        <v>3.2344964028776981E-3</v>
      </c>
      <c r="EI96" s="20">
        <f t="shared" si="311"/>
        <v>1.7595290754970732</v>
      </c>
      <c r="EJ96" s="26">
        <f t="shared" si="115"/>
        <v>1.8161838741432144</v>
      </c>
      <c r="EK96" s="29">
        <f t="shared" si="312"/>
        <v>2.1603289906986802</v>
      </c>
      <c r="EL96" s="28">
        <f t="shared" si="313"/>
        <v>50.99130361420854</v>
      </c>
      <c r="EM96" s="25">
        <f t="shared" si="314"/>
        <v>72.959188632901402</v>
      </c>
      <c r="EN96" s="25">
        <f t="shared" si="315"/>
        <v>1</v>
      </c>
      <c r="EO96" s="25">
        <f t="shared" si="316"/>
        <v>28.040811367098605</v>
      </c>
      <c r="EP96" s="25">
        <f t="shared" si="70"/>
        <v>5.2953575296762168</v>
      </c>
      <c r="EQ96" s="26">
        <f t="shared" si="71"/>
        <v>1.4883857474301143</v>
      </c>
      <c r="ER96" s="26">
        <f t="shared" si="317"/>
        <v>0.92048573925829957</v>
      </c>
      <c r="ES96" s="26">
        <f t="shared" si="73"/>
        <v>0.56790000817181474</v>
      </c>
      <c r="ET96" s="25">
        <f t="shared" si="318"/>
        <v>48.815837628404481</v>
      </c>
      <c r="EU96" s="25">
        <f t="shared" si="319"/>
        <v>84.675538928507038</v>
      </c>
      <c r="EV96" s="1"/>
      <c r="EW96" s="1"/>
      <c r="EX96" s="2"/>
      <c r="EY96" s="1"/>
      <c r="EZ96" s="22">
        <f t="shared" si="320"/>
        <v>34534</v>
      </c>
      <c r="FA96" s="3">
        <f t="shared" si="321"/>
        <v>180</v>
      </c>
      <c r="FB96" s="3">
        <f t="shared" si="322"/>
        <v>130</v>
      </c>
      <c r="FC96" s="3" t="b">
        <v>1</v>
      </c>
      <c r="FD96" s="3" t="b">
        <v>1</v>
      </c>
      <c r="FE96" s="20">
        <f t="shared" si="79"/>
        <v>0.48528268894501653</v>
      </c>
      <c r="FF96" s="20">
        <f t="shared" si="80"/>
        <v>20.618556701030926</v>
      </c>
      <c r="FG96" s="20">
        <f t="shared" si="81"/>
        <v>1.2845701295557634</v>
      </c>
      <c r="FH96" s="20">
        <f t="shared" si="82"/>
        <v>15.550239234449762</v>
      </c>
      <c r="FI96" s="19" t="s">
        <v>37</v>
      </c>
      <c r="FJ96" s="18" t="s">
        <v>0</v>
      </c>
      <c r="FK96" s="16">
        <f t="shared" si="323"/>
        <v>21.124882362986952</v>
      </c>
      <c r="FL96" s="17">
        <f t="shared" si="84"/>
        <v>21.124882362986952</v>
      </c>
      <c r="FM96" s="1">
        <f t="shared" si="85"/>
        <v>37.498462387436781</v>
      </c>
      <c r="FN96" s="1">
        <f t="shared" si="86"/>
        <v>35.036881708211382</v>
      </c>
      <c r="FO96" s="1">
        <f t="shared" si="327"/>
        <v>35.036881708211368</v>
      </c>
      <c r="FP96" s="1">
        <f t="shared" si="328"/>
        <v>44.600293114600824</v>
      </c>
      <c r="FQ96" s="1">
        <f t="shared" si="87"/>
        <v>72.959188632901402</v>
      </c>
      <c r="FR96" s="16" t="b">
        <f t="shared" si="268"/>
        <v>0</v>
      </c>
      <c r="FS96" s="17" t="b">
        <f t="shared" si="89"/>
        <v>0</v>
      </c>
      <c r="FT96" s="1" t="b">
        <f t="shared" si="90"/>
        <v>0</v>
      </c>
      <c r="FU96" s="1" t="b">
        <f t="shared" si="91"/>
        <v>0</v>
      </c>
      <c r="FV96" s="1" t="b">
        <f t="shared" si="92"/>
        <v>0</v>
      </c>
      <c r="FW96" s="16">
        <f t="shared" si="269"/>
        <v>48.720398074390694</v>
      </c>
      <c r="FX96" s="15">
        <f t="shared" si="94"/>
        <v>48.720398074390694</v>
      </c>
      <c r="FY96" s="15">
        <f t="shared" si="95"/>
        <v>64.579377184755387</v>
      </c>
      <c r="FZ96" s="15">
        <f t="shared" si="96"/>
        <v>50.99130361420854</v>
      </c>
      <c r="GA96" s="15">
        <f t="shared" si="97"/>
        <v>84.675538928507038</v>
      </c>
      <c r="GC96">
        <f t="shared" si="98"/>
        <v>47.482014388489205</v>
      </c>
      <c r="GD96">
        <f t="shared" si="99"/>
        <v>28.997474256848648</v>
      </c>
      <c r="GE96" s="14">
        <f t="shared" si="324"/>
        <v>21.124882362986952</v>
      </c>
      <c r="GF96" t="e">
        <f>IF(#REF!=FALSE,FALSE,CH96)</f>
        <v>#REF!</v>
      </c>
      <c r="GG96" t="e">
        <f>IF(#REF!=FALSE,FALSE,AN96)</f>
        <v>#REF!</v>
      </c>
      <c r="GH96" s="13" t="e">
        <f>#REF!</f>
        <v>#REF!</v>
      </c>
      <c r="GI96">
        <f t="shared" si="101"/>
        <v>28.997474256848648</v>
      </c>
      <c r="GJ96">
        <f t="shared" si="102"/>
        <v>20.588000000000001</v>
      </c>
      <c r="GK96" s="13">
        <f t="shared" si="325"/>
        <v>48.720398074390694</v>
      </c>
      <c r="GL96" t="str">
        <f t="shared" si="326"/>
        <v>TBZ</v>
      </c>
      <c r="GQ96" s="1"/>
      <c r="GR96" s="1"/>
      <c r="GS96" s="1"/>
      <c r="GT96" s="1"/>
      <c r="GU96" s="1"/>
      <c r="GV96" s="1"/>
      <c r="HA96" s="1"/>
    </row>
    <row r="97" spans="1:209">
      <c r="A97" t="s">
        <v>13</v>
      </c>
      <c r="B97" s="21" t="s">
        <v>12</v>
      </c>
      <c r="C97" s="21" t="s">
        <v>11</v>
      </c>
      <c r="D97" t="s">
        <v>16</v>
      </c>
      <c r="E97" t="s">
        <v>10</v>
      </c>
      <c r="F97" t="s">
        <v>9</v>
      </c>
      <c r="G97">
        <v>50</v>
      </c>
      <c r="H97">
        <v>10</v>
      </c>
      <c r="I97">
        <v>2.5</v>
      </c>
      <c r="J97" s="21">
        <f t="shared" si="270"/>
        <v>25</v>
      </c>
      <c r="K97" t="s">
        <v>35</v>
      </c>
      <c r="L97" t="s">
        <v>34</v>
      </c>
      <c r="U97" t="s">
        <v>6</v>
      </c>
      <c r="V97" s="53">
        <f t="shared" si="190"/>
        <v>2</v>
      </c>
      <c r="W97" t="s">
        <v>5</v>
      </c>
      <c r="X97">
        <v>10</v>
      </c>
      <c r="Y97" s="52" t="s">
        <v>4</v>
      </c>
      <c r="Z97" s="52" t="s">
        <v>3</v>
      </c>
      <c r="AA97" s="52"/>
      <c r="AB97" s="52">
        <v>34534</v>
      </c>
      <c r="AC97" s="52">
        <v>34534</v>
      </c>
      <c r="AD97" s="21">
        <f t="shared" si="271"/>
        <v>28</v>
      </c>
      <c r="AE97" s="21">
        <v>28</v>
      </c>
      <c r="AF97" s="21"/>
      <c r="AG97" s="52"/>
      <c r="AH97" s="52"/>
      <c r="AI97" t="b">
        <v>0</v>
      </c>
      <c r="AJ97" s="50">
        <f t="shared" si="272"/>
        <v>4.12</v>
      </c>
      <c r="AK97" s="16">
        <f t="shared" si="273"/>
        <v>8.24</v>
      </c>
      <c r="AL97">
        <v>206</v>
      </c>
      <c r="AM97" s="7">
        <f t="shared" si="194"/>
        <v>36.24</v>
      </c>
      <c r="AN97" s="21">
        <f t="shared" si="274"/>
        <v>906</v>
      </c>
      <c r="AQ97" s="52"/>
      <c r="AS97" s="45">
        <f t="shared" si="275"/>
        <v>4117.6000000000004</v>
      </c>
      <c r="AT97">
        <v>20588</v>
      </c>
      <c r="AU97">
        <v>100000</v>
      </c>
      <c r="AV97">
        <f t="shared" si="276"/>
        <v>20.588000000000001</v>
      </c>
      <c r="AW97" s="55"/>
      <c r="AX97">
        <v>8.73</v>
      </c>
      <c r="AY97" s="21">
        <f t="shared" si="277"/>
        <v>1.9849668874172186</v>
      </c>
      <c r="BA97" s="51">
        <v>180</v>
      </c>
      <c r="BB97" s="8">
        <f t="shared" si="199"/>
        <v>180</v>
      </c>
      <c r="BC97" s="24">
        <f t="shared" si="200"/>
        <v>5.5042200000000001</v>
      </c>
      <c r="BD97" s="7">
        <f t="shared" si="278"/>
        <v>1.7983800000000001</v>
      </c>
      <c r="BE97" s="7"/>
      <c r="BF97" s="43">
        <f t="shared" si="279"/>
        <v>1.7983800000000001</v>
      </c>
      <c r="BG97">
        <f t="shared" si="203"/>
        <v>3.7058400000000002</v>
      </c>
      <c r="BH97" s="50">
        <f t="shared" si="280"/>
        <v>2.56</v>
      </c>
      <c r="BI97" s="21">
        <f t="shared" si="281"/>
        <v>5.12</v>
      </c>
      <c r="BJ97">
        <v>128</v>
      </c>
      <c r="BL97">
        <v>10000</v>
      </c>
      <c r="BQ97">
        <v>1278</v>
      </c>
      <c r="BR97">
        <f t="shared" si="282"/>
        <v>1.278</v>
      </c>
      <c r="BS97" s="54"/>
      <c r="BT97">
        <v>5.52</v>
      </c>
      <c r="BV97">
        <v>240</v>
      </c>
      <c r="BW97" s="24">
        <f t="shared" si="207"/>
        <v>1.01328</v>
      </c>
      <c r="BX97">
        <f t="shared" si="283"/>
        <v>0.70655999999999997</v>
      </c>
      <c r="BZ97" s="21">
        <f t="shared" si="284"/>
        <v>0.70655999999999997</v>
      </c>
      <c r="CA97">
        <f t="shared" si="210"/>
        <v>0.30671999999999999</v>
      </c>
      <c r="CB97" s="40">
        <f t="shared" si="285"/>
        <v>60.711306842825216</v>
      </c>
      <c r="CC97" s="39" t="b">
        <f t="shared" si="286"/>
        <v>1</v>
      </c>
      <c r="CD97" s="39" t="b">
        <f t="shared" si="287"/>
        <v>1</v>
      </c>
      <c r="CE97" s="38">
        <f t="shared" si="265"/>
        <v>91.723333980959794</v>
      </c>
      <c r="CF97" s="35" t="b">
        <f t="shared" si="288"/>
        <v>1</v>
      </c>
      <c r="CG97" s="35" t="b">
        <f t="shared" si="289"/>
        <v>1</v>
      </c>
      <c r="CH97" s="17">
        <f t="shared" si="290"/>
        <v>85.871964679911699</v>
      </c>
      <c r="CI97" s="16">
        <f t="shared" si="266"/>
        <v>93.792500485719842</v>
      </c>
      <c r="CJ97" s="35" t="b">
        <f t="shared" si="291"/>
        <v>1</v>
      </c>
      <c r="CK97" s="35" t="b">
        <f t="shared" si="292"/>
        <v>1</v>
      </c>
      <c r="CL97" s="37">
        <f t="shared" si="293"/>
        <v>37.864077669902912</v>
      </c>
      <c r="CM97" s="36">
        <f t="shared" si="222"/>
        <v>81.590852109835737</v>
      </c>
      <c r="CN97" s="35" t="b">
        <f t="shared" si="294"/>
        <v>1</v>
      </c>
      <c r="CO97" s="35" t="b">
        <f t="shared" si="295"/>
        <v>1</v>
      </c>
      <c r="CP97">
        <f t="shared" si="329"/>
        <v>1994</v>
      </c>
      <c r="CQ97" s="52">
        <v>34471</v>
      </c>
      <c r="CR97">
        <f t="shared" si="296"/>
        <v>63</v>
      </c>
      <c r="CS97" t="str">
        <f t="shared" si="297"/>
        <v>Terbuthylazin</v>
      </c>
      <c r="CT97">
        <f t="shared" si="298"/>
        <v>10</v>
      </c>
      <c r="CU97" s="7"/>
      <c r="CV97" s="7"/>
      <c r="CW97" s="21">
        <v>0.8</v>
      </c>
      <c r="CX97" s="21">
        <v>231</v>
      </c>
      <c r="CY97" s="7" t="s">
        <v>2</v>
      </c>
      <c r="CZ97" s="33">
        <v>24</v>
      </c>
      <c r="DA97" s="1">
        <f t="shared" si="299"/>
        <v>906</v>
      </c>
      <c r="DB97" s="3">
        <v>12.3239436619718</v>
      </c>
      <c r="DC97" s="3" t="s">
        <v>1</v>
      </c>
      <c r="DD97" s="32">
        <f t="shared" si="300"/>
        <v>1.8480000000000001</v>
      </c>
      <c r="DE97" s="32">
        <f t="shared" si="301"/>
        <v>23.812888102765701</v>
      </c>
      <c r="DF97">
        <f t="shared" si="330"/>
        <v>0.95969836337235814</v>
      </c>
      <c r="DG97">
        <f t="shared" si="267"/>
        <v>8.1269841269841478</v>
      </c>
      <c r="DH97" s="2">
        <f t="shared" si="234"/>
        <v>0.89043478260869591</v>
      </c>
      <c r="DI97" s="7">
        <f t="shared" si="302"/>
        <v>90.801462236340427</v>
      </c>
      <c r="DJ97" s="31">
        <f t="shared" si="236"/>
        <v>0.50630775529490313</v>
      </c>
      <c r="DK97" s="31">
        <f t="shared" si="303"/>
        <v>0.45083403601911387</v>
      </c>
      <c r="DL97" s="31">
        <f t="shared" si="304"/>
        <v>5.5473719275789264E-2</v>
      </c>
      <c r="DM97" s="30">
        <f t="shared" si="239"/>
        <v>74.931102657996988</v>
      </c>
      <c r="DN97" s="30">
        <f t="shared" si="240"/>
        <v>98.503073007043227</v>
      </c>
      <c r="DO97" s="7">
        <v>24.79</v>
      </c>
      <c r="DP97" s="7">
        <f t="shared" si="305"/>
        <v>46.370860927152322</v>
      </c>
      <c r="DQ97" s="7">
        <f t="shared" si="306"/>
        <v>48.772100252574319</v>
      </c>
      <c r="DR97" s="7">
        <f t="shared" si="57"/>
        <v>-7.7714989433862174</v>
      </c>
      <c r="DS97" s="6">
        <f t="shared" si="307"/>
        <v>-21.36</v>
      </c>
      <c r="DT97" s="5">
        <f t="shared" si="105"/>
        <v>630.49484536082468</v>
      </c>
      <c r="DU97" s="5">
        <f t="shared" si="106"/>
        <v>459.72535211267541</v>
      </c>
      <c r="DV97" s="5">
        <f t="shared" si="107"/>
        <v>244.04662400000001</v>
      </c>
      <c r="DW97" s="5">
        <f t="shared" si="108"/>
        <v>91.204643680859363</v>
      </c>
      <c r="DX97" s="5">
        <f t="shared" si="109"/>
        <v>90.243358876499713</v>
      </c>
      <c r="DY97" s="5">
        <f t="shared" si="110"/>
        <v>87.106768270893227</v>
      </c>
      <c r="DZ97" s="5">
        <f t="shared" si="111"/>
        <v>0</v>
      </c>
      <c r="EA97" s="5">
        <f t="shared" si="112"/>
        <v>-0.96128480435963581</v>
      </c>
      <c r="EB97" s="5">
        <f t="shared" si="113"/>
        <v>-4.0978754099661217</v>
      </c>
      <c r="EC97" s="16">
        <f t="shared" si="59"/>
        <v>91.204643680859348</v>
      </c>
      <c r="ED97" s="3">
        <f t="shared" si="114"/>
        <v>5.0201042384105961</v>
      </c>
      <c r="EE97" s="16">
        <f t="shared" si="60"/>
        <v>0.48411576158940406</v>
      </c>
      <c r="EF97" s="16">
        <f t="shared" si="308"/>
        <v>19.310000000000002</v>
      </c>
      <c r="EG97" s="16">
        <f t="shared" si="309"/>
        <v>778</v>
      </c>
      <c r="EH97" s="16">
        <f t="shared" si="310"/>
        <v>1.9849668874172186E-3</v>
      </c>
      <c r="EI97" s="20">
        <f t="shared" si="311"/>
        <v>0.40146816029214805</v>
      </c>
      <c r="EJ97" s="26">
        <f t="shared" si="115"/>
        <v>8.2647601297255985E-2</v>
      </c>
      <c r="EK97" s="29">
        <f t="shared" si="312"/>
        <v>77.676121826746964</v>
      </c>
      <c r="EL97" s="28">
        <f t="shared" si="313"/>
        <v>97.769801143674414</v>
      </c>
      <c r="EM97" s="25">
        <f t="shared" si="314"/>
        <v>79.172629884118109</v>
      </c>
      <c r="EN97" s="25">
        <f t="shared" si="315"/>
        <v>1</v>
      </c>
      <c r="EO97" s="25">
        <f t="shared" si="316"/>
        <v>21.827370115881894</v>
      </c>
      <c r="EP97" s="25">
        <f t="shared" si="70"/>
        <v>4.6719771099484095</v>
      </c>
      <c r="EQ97" s="26">
        <f t="shared" si="71"/>
        <v>1.1463842713923944</v>
      </c>
      <c r="ER97" s="26">
        <f t="shared" si="317"/>
        <v>1.0207804294833149</v>
      </c>
      <c r="ES97" s="26">
        <f t="shared" si="73"/>
        <v>0.12560384190907944</v>
      </c>
      <c r="ET97" s="25">
        <f t="shared" si="318"/>
        <v>43.238891141843503</v>
      </c>
      <c r="EU97" s="25">
        <f t="shared" si="319"/>
        <v>96.61065124481685</v>
      </c>
      <c r="EV97" s="1"/>
      <c r="EW97" s="1"/>
      <c r="EX97" s="2"/>
      <c r="EY97" s="1"/>
      <c r="EZ97" s="22">
        <f t="shared" si="320"/>
        <v>34534</v>
      </c>
      <c r="FA97" s="3">
        <f t="shared" si="321"/>
        <v>180</v>
      </c>
      <c r="FB97" s="3">
        <f t="shared" si="322"/>
        <v>240</v>
      </c>
      <c r="FC97" s="3" t="b">
        <v>1</v>
      </c>
      <c r="FD97" s="3" t="b">
        <v>1</v>
      </c>
      <c r="FE97" s="20">
        <f t="shared" si="79"/>
        <v>0.48528268894501653</v>
      </c>
      <c r="FF97" s="20">
        <f t="shared" si="80"/>
        <v>20.618556701030926</v>
      </c>
      <c r="FG97" s="20">
        <f t="shared" si="81"/>
        <v>2.3035993740219092</v>
      </c>
      <c r="FH97" s="20">
        <f t="shared" si="82"/>
        <v>43.478260869565219</v>
      </c>
      <c r="FI97" s="19" t="s">
        <v>36</v>
      </c>
      <c r="FJ97" s="18" t="s">
        <v>0</v>
      </c>
      <c r="FK97" s="16">
        <f t="shared" si="323"/>
        <v>81.590852109835737</v>
      </c>
      <c r="FL97" s="17">
        <f t="shared" si="84"/>
        <v>81.590852109835737</v>
      </c>
      <c r="FM97" s="1">
        <f t="shared" si="85"/>
        <v>90.801462236340427</v>
      </c>
      <c r="FN97" s="1">
        <f t="shared" si="86"/>
        <v>91.204643680859348</v>
      </c>
      <c r="FO97" s="1">
        <f t="shared" si="327"/>
        <v>91.204643680859363</v>
      </c>
      <c r="FP97" s="1">
        <f t="shared" si="328"/>
        <v>87.106768270893227</v>
      </c>
      <c r="FQ97" s="1">
        <f t="shared" si="87"/>
        <v>79.172629884118109</v>
      </c>
      <c r="FR97" s="16">
        <f t="shared" si="268"/>
        <v>60.711306842825216</v>
      </c>
      <c r="FS97" s="17">
        <f t="shared" si="89"/>
        <v>60.711306842825216</v>
      </c>
      <c r="FT97" s="1">
        <f t="shared" si="90"/>
        <v>74.931102657996988</v>
      </c>
      <c r="FU97" s="1">
        <f t="shared" si="91"/>
        <v>77.676121826746964</v>
      </c>
      <c r="FV97" s="1">
        <f t="shared" si="92"/>
        <v>43.238891141843503</v>
      </c>
      <c r="FW97" s="16">
        <f t="shared" si="269"/>
        <v>91.723333980959794</v>
      </c>
      <c r="FX97" s="15">
        <f t="shared" si="94"/>
        <v>91.723333980959794</v>
      </c>
      <c r="FY97" s="15">
        <f t="shared" si="95"/>
        <v>98.503073007043227</v>
      </c>
      <c r="FZ97" s="15">
        <f t="shared" si="96"/>
        <v>97.769801143674414</v>
      </c>
      <c r="GA97" s="15">
        <f t="shared" si="97"/>
        <v>96.61065124481685</v>
      </c>
      <c r="GC97">
        <f t="shared" si="98"/>
        <v>85.871964679911699</v>
      </c>
      <c r="GD97">
        <f t="shared" si="99"/>
        <v>93.792500485719842</v>
      </c>
      <c r="GE97" s="14">
        <f t="shared" si="324"/>
        <v>81.590852109835737</v>
      </c>
      <c r="GF97" t="e">
        <f>IF(#REF!=FALSE,FALSE,CH97)</f>
        <v>#REF!</v>
      </c>
      <c r="GG97" t="e">
        <f>IF(#REF!=FALSE,FALSE,AN97)</f>
        <v>#REF!</v>
      </c>
      <c r="GH97" s="13" t="e">
        <f>#REF!</f>
        <v>#REF!</v>
      </c>
      <c r="GI97">
        <f t="shared" si="101"/>
        <v>93.792500485719842</v>
      </c>
      <c r="GJ97">
        <f t="shared" si="102"/>
        <v>20.588000000000001</v>
      </c>
      <c r="GK97" s="13">
        <f t="shared" si="325"/>
        <v>91.723333980959794</v>
      </c>
      <c r="GL97" t="str">
        <f t="shared" si="326"/>
        <v>TBZ</v>
      </c>
      <c r="GQ97" s="1"/>
      <c r="GR97" s="1"/>
      <c r="GS97" s="1"/>
      <c r="GT97" s="1"/>
      <c r="GU97" s="1"/>
      <c r="GV97" s="1"/>
      <c r="HA97" s="1"/>
    </row>
    <row r="98" spans="1:209">
      <c r="A98" t="s">
        <v>13</v>
      </c>
      <c r="B98" s="21" t="s">
        <v>12</v>
      </c>
      <c r="C98" s="21" t="s">
        <v>11</v>
      </c>
      <c r="D98" t="s">
        <v>18</v>
      </c>
      <c r="E98" t="s">
        <v>10</v>
      </c>
      <c r="F98" t="s">
        <v>9</v>
      </c>
      <c r="G98">
        <v>50</v>
      </c>
      <c r="H98">
        <v>5</v>
      </c>
      <c r="I98">
        <v>2.5</v>
      </c>
      <c r="J98" s="21">
        <f t="shared" si="270"/>
        <v>12.5</v>
      </c>
      <c r="K98" t="s">
        <v>8</v>
      </c>
      <c r="L98" t="s">
        <v>7</v>
      </c>
      <c r="U98" t="s">
        <v>6</v>
      </c>
      <c r="V98" s="53">
        <f t="shared" ref="V98:V114" si="331">G98/(H98*I98)</f>
        <v>4</v>
      </c>
      <c r="W98" t="s">
        <v>5</v>
      </c>
      <c r="X98">
        <v>10</v>
      </c>
      <c r="Y98" s="52" t="s">
        <v>4</v>
      </c>
      <c r="Z98" s="52" t="s">
        <v>3</v>
      </c>
      <c r="AA98" s="52"/>
      <c r="AB98" s="52">
        <v>34480</v>
      </c>
      <c r="AC98" s="52">
        <v>34480</v>
      </c>
      <c r="AD98" s="21">
        <f t="shared" ref="AD98:AD114" si="332">AE98</f>
        <v>9.6</v>
      </c>
      <c r="AE98" s="21">
        <v>9.6</v>
      </c>
      <c r="AF98" s="21"/>
      <c r="AG98" s="52"/>
      <c r="AH98" s="52"/>
      <c r="AI98" t="b">
        <v>0</v>
      </c>
      <c r="AJ98" s="50">
        <f t="shared" ref="AJ98:AJ114" si="333">AL98/G98</f>
        <v>1.2E-2</v>
      </c>
      <c r="AK98" s="16">
        <f t="shared" ref="AK98:AK114" si="334">AL98/J98</f>
        <v>4.8000000000000001E-2</v>
      </c>
      <c r="AL98">
        <v>0.6</v>
      </c>
      <c r="AM98" s="7">
        <f t="shared" ref="AM98:AM114" si="335">AN98/J98</f>
        <v>9.6479999999999997</v>
      </c>
      <c r="AN98" s="21">
        <f t="shared" si="274"/>
        <v>120.6</v>
      </c>
      <c r="AQ98" s="52"/>
      <c r="AS98" s="45">
        <f t="shared" ref="AS98:AS114" si="336">AV98/(G98/10000)</f>
        <v>2.0399999999999996</v>
      </c>
      <c r="AT98">
        <v>10.199999999999999</v>
      </c>
      <c r="AU98">
        <v>17000</v>
      </c>
      <c r="AV98">
        <f t="shared" ref="AV98:AV114" si="337">IFERROR(AT98/1000,"n.a.")</f>
        <v>1.0199999999999999E-2</v>
      </c>
      <c r="AW98" s="55"/>
      <c r="AX98">
        <v>1.26</v>
      </c>
      <c r="AY98" s="21">
        <f t="shared" si="277"/>
        <v>6.2686567164179112E-3</v>
      </c>
      <c r="BA98" s="51">
        <v>1480</v>
      </c>
      <c r="BB98" s="8">
        <f t="shared" ref="BB98:BB114" si="338">BA98</f>
        <v>1480</v>
      </c>
      <c r="BC98" s="24">
        <f t="shared" ref="BC98:BC114" si="339">BF98+BG98</f>
        <v>1.5851999999999998E-2</v>
      </c>
      <c r="BD98" s="7">
        <f t="shared" ref="BD98:BD114" si="340">AX98/1000*AL98</f>
        <v>7.5600000000000005E-4</v>
      </c>
      <c r="BE98" s="7"/>
      <c r="BF98" s="43">
        <f t="shared" ref="BF98:BF114" si="341">BD98</f>
        <v>7.5600000000000005E-4</v>
      </c>
      <c r="BG98">
        <f t="shared" ref="BG98:BG114" si="342">BA98/1000*AV98</f>
        <v>1.5095999999999998E-2</v>
      </c>
      <c r="BH98" s="50">
        <f t="shared" ref="BH98:BH114" si="343">BJ98/G98</f>
        <v>8.0000000000000002E-3</v>
      </c>
      <c r="BI98" s="21">
        <f t="shared" si="281"/>
        <v>3.2000000000000001E-2</v>
      </c>
      <c r="BJ98">
        <v>0.4</v>
      </c>
      <c r="BL98">
        <v>2750</v>
      </c>
      <c r="BQ98">
        <v>1.1000000000000001</v>
      </c>
      <c r="BR98">
        <f t="shared" ref="BR98:BR114" si="344">IFERROR(BQ98/1000,"n.a.")</f>
        <v>1.1000000000000001E-3</v>
      </c>
      <c r="BS98" s="54"/>
      <c r="BT98">
        <v>1.73</v>
      </c>
      <c r="BV98">
        <v>470</v>
      </c>
      <c r="BW98" s="24">
        <f t="shared" ref="BW98:BW114" si="345">BZ98+CA98</f>
        <v>1.209E-3</v>
      </c>
      <c r="BX98">
        <f t="shared" ref="BX98:BX114" si="346">BT98/1000*BJ98</f>
        <v>6.9200000000000002E-4</v>
      </c>
      <c r="BZ98" s="21">
        <f t="shared" ref="BZ98:BZ114" si="347">BX98</f>
        <v>6.9200000000000002E-4</v>
      </c>
      <c r="CA98">
        <f t="shared" ref="CA98:CA114" si="348">BV98/1000*BR98</f>
        <v>5.1699999999999999E-4</v>
      </c>
      <c r="CB98" s="40">
        <f t="shared" si="285"/>
        <v>8.4656084656084705</v>
      </c>
      <c r="CC98" s="39" t="b">
        <f t="shared" si="286"/>
        <v>1</v>
      </c>
      <c r="CD98" s="39" t="b">
        <f t="shared" si="287"/>
        <v>1</v>
      </c>
      <c r="CE98" s="38">
        <f t="shared" si="265"/>
        <v>96.57525172231054</v>
      </c>
      <c r="CF98" s="35" t="b">
        <f t="shared" si="288"/>
        <v>1</v>
      </c>
      <c r="CG98" s="35" t="b">
        <f t="shared" si="289"/>
        <v>1</v>
      </c>
      <c r="CH98" s="17">
        <f t="shared" si="290"/>
        <v>99.668325041459354</v>
      </c>
      <c r="CI98" s="16">
        <f t="shared" si="266"/>
        <v>89.215686274509792</v>
      </c>
      <c r="CJ98" s="35" t="b">
        <f t="shared" si="291"/>
        <v>1</v>
      </c>
      <c r="CK98" s="35" t="b">
        <f t="shared" si="292"/>
        <v>1</v>
      </c>
      <c r="CL98" s="37">
        <f t="shared" si="293"/>
        <v>33.333333333333329</v>
      </c>
      <c r="CM98" s="36">
        <f t="shared" ref="CM98:CM114" si="349">(BC98-BW98)/BC98*100</f>
        <v>92.373202119606361</v>
      </c>
      <c r="CN98" s="35" t="b">
        <f t="shared" si="294"/>
        <v>1</v>
      </c>
      <c r="CO98" s="35" t="b">
        <f t="shared" si="295"/>
        <v>1</v>
      </c>
      <c r="CP98">
        <f t="shared" si="329"/>
        <v>1994</v>
      </c>
      <c r="CQ98" s="52">
        <v>34471</v>
      </c>
      <c r="CR98">
        <f t="shared" ref="CR98:CR114" si="350">AC98-CQ98</f>
        <v>9</v>
      </c>
      <c r="CS98" t="str">
        <f t="shared" si="297"/>
        <v>Pendimethalin</v>
      </c>
      <c r="CT98">
        <f t="shared" si="298"/>
        <v>5</v>
      </c>
      <c r="CU98" s="7"/>
      <c r="CV98" s="7"/>
      <c r="CW98" s="21">
        <v>0.8</v>
      </c>
      <c r="CX98" s="21">
        <v>13792</v>
      </c>
      <c r="CY98" s="7" t="s">
        <v>2</v>
      </c>
      <c r="CZ98" s="33">
        <v>24</v>
      </c>
      <c r="DA98" s="1">
        <f t="shared" si="299"/>
        <v>120.6</v>
      </c>
      <c r="DB98" s="3">
        <v>386.36363636363598</v>
      </c>
      <c r="DC98" s="3" t="s">
        <v>1</v>
      </c>
      <c r="DD98" s="32">
        <f t="shared" si="300"/>
        <v>110.336</v>
      </c>
      <c r="DE98" s="32">
        <f t="shared" si="301"/>
        <v>107.15930803876076</v>
      </c>
      <c r="DF98">
        <f t="shared" si="330"/>
        <v>0.99075437872030736</v>
      </c>
      <c r="DG98">
        <f t="shared" si="267"/>
        <v>0.94117647058823628</v>
      </c>
      <c r="DH98" s="2">
        <f t="shared" ref="DH98:DH114" si="351">DG98/(1+DG98)</f>
        <v>0.48484848484848508</v>
      </c>
      <c r="DI98" s="7">
        <f t="shared" si="302"/>
        <v>92.308727765550543</v>
      </c>
      <c r="DJ98" s="31">
        <f t="shared" ref="DJ98:DJ114" si="352">BC98*(1-DI98/100)</f>
        <v>1.2192204746049272E-3</v>
      </c>
      <c r="DK98" s="31">
        <f t="shared" si="303"/>
        <v>5.9113719980844988E-4</v>
      </c>
      <c r="DL98" s="31">
        <f t="shared" si="304"/>
        <v>6.2808327479647733E-4</v>
      </c>
      <c r="DM98" s="30">
        <f t="shared" ref="DM98:DM114" si="353">(BF98-DK98)/BF98*100</f>
        <v>21.807248702585998</v>
      </c>
      <c r="DN98" s="30">
        <f t="shared" ref="DN98:DN114" si="354">(BG98-DL98)/BG98*100</f>
        <v>95.839405969816653</v>
      </c>
      <c r="DO98" s="7">
        <v>24.79</v>
      </c>
      <c r="DP98" s="7">
        <f t="shared" si="305"/>
        <v>53.820895522388057</v>
      </c>
      <c r="DQ98" s="7">
        <f t="shared" si="306"/>
        <v>46.392156862745097</v>
      </c>
      <c r="DR98" s="7">
        <f t="shared" si="57"/>
        <v>-11.334324619582617</v>
      </c>
      <c r="DS98" s="6">
        <f t="shared" si="307"/>
        <v>-21.36</v>
      </c>
      <c r="DT98" s="5">
        <f t="shared" si="105"/>
        <v>12.580952380952381</v>
      </c>
      <c r="DU98" s="5">
        <f t="shared" si="106"/>
        <v>4.5409090909090866</v>
      </c>
      <c r="DV98" s="5">
        <f t="shared" si="107"/>
        <v>1.7254271999999999</v>
      </c>
      <c r="DW98" s="5">
        <f t="shared" si="108"/>
        <v>89.714184565439254</v>
      </c>
      <c r="DX98" s="5">
        <f t="shared" si="109"/>
        <v>90.596815721193849</v>
      </c>
      <c r="DY98" s="5">
        <f t="shared" si="110"/>
        <v>92.850486548998177</v>
      </c>
      <c r="DZ98" s="5">
        <f t="shared" si="111"/>
        <v>0</v>
      </c>
      <c r="EA98" s="5">
        <f t="shared" si="112"/>
        <v>0.88263115575459494</v>
      </c>
      <c r="EB98" s="5">
        <f t="shared" si="113"/>
        <v>3.1363019835589228</v>
      </c>
      <c r="EC98" s="16">
        <f t="shared" si="59"/>
        <v>89.714184565439254</v>
      </c>
      <c r="ED98" s="3">
        <f t="shared" si="114"/>
        <v>1.422149253731343E-2</v>
      </c>
      <c r="EE98" s="16">
        <f t="shared" si="60"/>
        <v>1.6305074626865677E-3</v>
      </c>
      <c r="EF98" s="16">
        <f t="shared" si="308"/>
        <v>9.0999999999999987E-3</v>
      </c>
      <c r="EG98" s="16">
        <f t="shared" si="309"/>
        <v>120.19999999999999</v>
      </c>
      <c r="EH98" s="16">
        <f t="shared" si="310"/>
        <v>6.2686567164179116E-6</v>
      </c>
      <c r="EI98" s="20">
        <f t="shared" si="311"/>
        <v>3.8544829324297855E-4</v>
      </c>
      <c r="EJ98" s="26">
        <f t="shared" si="115"/>
        <v>1.2450591694435891E-3</v>
      </c>
      <c r="EK98" s="29">
        <f t="shared" si="312"/>
        <v>49.014776026061043</v>
      </c>
      <c r="EL98" s="28">
        <f t="shared" si="313"/>
        <v>91.752390239509879</v>
      </c>
      <c r="EM98" s="25">
        <f t="shared" si="314"/>
        <v>100.47599908540116</v>
      </c>
      <c r="EN98" s="25">
        <f t="shared" si="315"/>
        <v>2</v>
      </c>
      <c r="EO98" s="25">
        <f t="shared" si="316"/>
        <v>0.52400091459884102</v>
      </c>
      <c r="EP98" s="25">
        <f t="shared" si="70"/>
        <v>0.72387907456897871</v>
      </c>
      <c r="EQ98" s="26">
        <f t="shared" si="71"/>
        <v>-7.5455375017789719E-5</v>
      </c>
      <c r="ER98" s="26">
        <f t="shared" si="317"/>
        <v>-3.6584424251049582E-5</v>
      </c>
      <c r="ES98" s="26">
        <f t="shared" si="73"/>
        <v>-3.8870950766740137E-5</v>
      </c>
      <c r="ET98" s="25">
        <f t="shared" si="318"/>
        <v>104.83920955701713</v>
      </c>
      <c r="EU98" s="25">
        <f t="shared" si="319"/>
        <v>100.25749172473992</v>
      </c>
      <c r="EV98" s="1"/>
      <c r="EW98" s="1"/>
      <c r="EX98" s="2"/>
      <c r="EY98" s="1"/>
      <c r="EZ98" s="22">
        <f t="shared" si="320"/>
        <v>34480</v>
      </c>
      <c r="FA98" s="3">
        <f t="shared" si="321"/>
        <v>1480</v>
      </c>
      <c r="FB98" s="3">
        <f t="shared" si="322"/>
        <v>470</v>
      </c>
      <c r="FC98" s="3" t="b">
        <v>1</v>
      </c>
      <c r="FD98" s="3" t="b">
        <v>1</v>
      </c>
      <c r="FE98" s="20">
        <f t="shared" si="79"/>
        <v>5.0079491255961853E-2</v>
      </c>
      <c r="FF98" s="20">
        <f t="shared" si="80"/>
        <v>1174.6031746031747</v>
      </c>
      <c r="FG98" s="20">
        <f t="shared" si="81"/>
        <v>1.3384912959381046</v>
      </c>
      <c r="FH98" s="20">
        <f t="shared" si="82"/>
        <v>271.67630057803467</v>
      </c>
      <c r="FI98" s="19" t="s">
        <v>33</v>
      </c>
      <c r="FJ98" s="18" t="s">
        <v>0</v>
      </c>
      <c r="FK98" s="16">
        <f t="shared" si="323"/>
        <v>92.373202119606361</v>
      </c>
      <c r="FL98" s="17">
        <f t="shared" si="84"/>
        <v>92.373202119606361</v>
      </c>
      <c r="FM98" s="1">
        <f t="shared" si="85"/>
        <v>92.308727765550543</v>
      </c>
      <c r="FN98" s="1">
        <f t="shared" si="86"/>
        <v>89.714184565439254</v>
      </c>
      <c r="FO98" s="1">
        <f t="shared" si="327"/>
        <v>89.714184565439254</v>
      </c>
      <c r="FP98" s="1">
        <f t="shared" si="328"/>
        <v>92.850486548998177</v>
      </c>
      <c r="FQ98" s="1">
        <f t="shared" si="87"/>
        <v>100.47599908540116</v>
      </c>
      <c r="FR98" s="16">
        <f t="shared" si="268"/>
        <v>8.4656084656084705</v>
      </c>
      <c r="FS98" s="17">
        <f t="shared" si="89"/>
        <v>8.4656084656084705</v>
      </c>
      <c r="FT98" s="1">
        <f t="shared" si="90"/>
        <v>21.807248702585998</v>
      </c>
      <c r="FU98" s="1">
        <f t="shared" si="91"/>
        <v>49.014776026061043</v>
      </c>
      <c r="FV98" s="1">
        <f t="shared" si="92"/>
        <v>104.83920955701713</v>
      </c>
      <c r="FW98" s="16">
        <f t="shared" si="269"/>
        <v>96.57525172231054</v>
      </c>
      <c r="FX98" s="15">
        <f t="shared" si="94"/>
        <v>96.57525172231054</v>
      </c>
      <c r="FY98" s="15">
        <f t="shared" si="95"/>
        <v>95.839405969816653</v>
      </c>
      <c r="FZ98" s="15">
        <f t="shared" si="96"/>
        <v>91.752390239509879</v>
      </c>
      <c r="GA98" s="15">
        <f t="shared" si="97"/>
        <v>100.25749172473992</v>
      </c>
      <c r="GC98">
        <f t="shared" si="98"/>
        <v>99.668325041459354</v>
      </c>
      <c r="GD98">
        <f t="shared" si="99"/>
        <v>89.215686274509792</v>
      </c>
      <c r="GE98" s="14">
        <f t="shared" si="324"/>
        <v>92.373202119606361</v>
      </c>
      <c r="GF98" t="e">
        <f>IF(#REF!=FALSE,FALSE,CH98)</f>
        <v>#REF!</v>
      </c>
      <c r="GG98" t="e">
        <f>IF(#REF!=FALSE,FALSE,AN98)</f>
        <v>#REF!</v>
      </c>
      <c r="GH98" s="13" t="e">
        <f>#REF!</f>
        <v>#REF!</v>
      </c>
      <c r="GI98">
        <f t="shared" si="101"/>
        <v>89.215686274509792</v>
      </c>
      <c r="GJ98">
        <f t="shared" si="102"/>
        <v>1.0199999999999999E-2</v>
      </c>
      <c r="GK98" s="13">
        <f t="shared" si="325"/>
        <v>96.57525172231054</v>
      </c>
      <c r="GL98" t="str">
        <f t="shared" si="326"/>
        <v>PND</v>
      </c>
      <c r="GQ98" s="1"/>
      <c r="GR98" s="1"/>
      <c r="GS98" s="1"/>
      <c r="GT98" s="1"/>
      <c r="GU98" s="1"/>
      <c r="GV98" s="1"/>
      <c r="HA98" s="1"/>
    </row>
    <row r="99" spans="1:209">
      <c r="A99" t="s">
        <v>13</v>
      </c>
      <c r="B99" s="21" t="s">
        <v>12</v>
      </c>
      <c r="C99" s="21" t="s">
        <v>11</v>
      </c>
      <c r="D99" t="s">
        <v>18</v>
      </c>
      <c r="E99" t="s">
        <v>10</v>
      </c>
      <c r="F99" t="s">
        <v>9</v>
      </c>
      <c r="G99">
        <v>50</v>
      </c>
      <c r="H99">
        <v>5</v>
      </c>
      <c r="I99">
        <v>2.5</v>
      </c>
      <c r="J99" s="21">
        <f t="shared" si="270"/>
        <v>12.5</v>
      </c>
      <c r="K99" t="s">
        <v>8</v>
      </c>
      <c r="L99" t="s">
        <v>7</v>
      </c>
      <c r="U99" t="s">
        <v>6</v>
      </c>
      <c r="V99" s="53">
        <f t="shared" si="331"/>
        <v>4</v>
      </c>
      <c r="W99" t="s">
        <v>5</v>
      </c>
      <c r="X99">
        <v>10</v>
      </c>
      <c r="Y99" s="52" t="s">
        <v>4</v>
      </c>
      <c r="Z99" s="52" t="s">
        <v>3</v>
      </c>
      <c r="AA99" s="52"/>
      <c r="AB99" s="52">
        <v>34493</v>
      </c>
      <c r="AC99" s="52">
        <v>34493</v>
      </c>
      <c r="AD99" s="21">
        <f t="shared" si="332"/>
        <v>27.2</v>
      </c>
      <c r="AE99" s="21">
        <v>27.2</v>
      </c>
      <c r="AF99" s="21"/>
      <c r="AG99" s="52"/>
      <c r="AH99" s="52"/>
      <c r="AI99" t="b">
        <v>0</v>
      </c>
      <c r="AJ99" s="50">
        <f t="shared" si="333"/>
        <v>13.34</v>
      </c>
      <c r="AK99" s="16">
        <f t="shared" si="334"/>
        <v>53.36</v>
      </c>
      <c r="AL99">
        <v>667</v>
      </c>
      <c r="AM99" s="7">
        <f t="shared" si="335"/>
        <v>80.56</v>
      </c>
      <c r="AN99" s="21">
        <f t="shared" ref="AN99:AN114" si="355">IF(Z99="natural",AL99+AD99*J99,AL99)</f>
        <v>1007</v>
      </c>
      <c r="AQ99" s="52"/>
      <c r="AS99" s="45">
        <f t="shared" si="336"/>
        <v>14946.6</v>
      </c>
      <c r="AT99">
        <v>74733</v>
      </c>
      <c r="AU99">
        <v>112000</v>
      </c>
      <c r="AV99">
        <f t="shared" si="337"/>
        <v>74.733000000000004</v>
      </c>
      <c r="AW99" s="55"/>
      <c r="AX99">
        <v>9.7200000000000006</v>
      </c>
      <c r="AY99" s="21">
        <f t="shared" si="277"/>
        <v>6.4381727904667336</v>
      </c>
      <c r="BA99" s="51">
        <v>3270</v>
      </c>
      <c r="BB99" s="8">
        <f t="shared" si="338"/>
        <v>3270</v>
      </c>
      <c r="BC99" s="24">
        <f t="shared" si="339"/>
        <v>250.86015</v>
      </c>
      <c r="BD99" s="7">
        <f t="shared" si="340"/>
        <v>6.4832400000000012</v>
      </c>
      <c r="BE99" s="7"/>
      <c r="BF99" s="43">
        <f t="shared" si="341"/>
        <v>6.4832400000000012</v>
      </c>
      <c r="BG99">
        <f t="shared" si="342"/>
        <v>244.37691000000001</v>
      </c>
      <c r="BH99" s="50">
        <f t="shared" si="343"/>
        <v>12.74</v>
      </c>
      <c r="BI99" s="21">
        <f t="shared" ref="BI99:BI114" si="356">BH99*G99/J99</f>
        <v>50.96</v>
      </c>
      <c r="BJ99">
        <v>637</v>
      </c>
      <c r="BL99">
        <v>110000</v>
      </c>
      <c r="BQ99">
        <v>70088</v>
      </c>
      <c r="BR99">
        <f t="shared" si="344"/>
        <v>70.087999999999994</v>
      </c>
      <c r="BS99" s="54"/>
      <c r="BT99">
        <v>8.7899999999999991</v>
      </c>
      <c r="BV99">
        <v>3300</v>
      </c>
      <c r="BW99" s="24">
        <f t="shared" si="345"/>
        <v>236.88962999999998</v>
      </c>
      <c r="BX99">
        <f t="shared" si="346"/>
        <v>5.5992299999999995</v>
      </c>
      <c r="BZ99" s="21">
        <f t="shared" si="347"/>
        <v>5.5992299999999995</v>
      </c>
      <c r="CA99">
        <f t="shared" si="348"/>
        <v>231.29039999999998</v>
      </c>
      <c r="CB99" s="40">
        <f t="shared" si="285"/>
        <v>13.635311973642834</v>
      </c>
      <c r="CC99" s="39" t="b">
        <f t="shared" si="286"/>
        <v>1</v>
      </c>
      <c r="CD99" s="39" t="b">
        <f t="shared" si="287"/>
        <v>1</v>
      </c>
      <c r="CE99" s="38">
        <f t="shared" ref="CE99:CE114" si="357">(BG99-CA99)/BG99*100</f>
        <v>5.355051751820592</v>
      </c>
      <c r="CF99" s="35" t="b">
        <f t="shared" si="288"/>
        <v>1</v>
      </c>
      <c r="CG99" s="35" t="b">
        <f t="shared" si="289"/>
        <v>1</v>
      </c>
      <c r="CH99" s="17">
        <f t="shared" si="290"/>
        <v>36.742800397219469</v>
      </c>
      <c r="CI99" s="16">
        <f t="shared" ref="CI99:CI114" si="358">IFERROR((AV99-BR99)/AV99*100,-99999)</f>
        <v>6.2154603722585868</v>
      </c>
      <c r="CJ99" s="35" t="b">
        <f t="shared" si="291"/>
        <v>1</v>
      </c>
      <c r="CK99" s="35" t="b">
        <f t="shared" si="292"/>
        <v>1</v>
      </c>
      <c r="CL99" s="37">
        <f t="shared" si="293"/>
        <v>4.497751124437781</v>
      </c>
      <c r="CM99" s="36">
        <f t="shared" si="349"/>
        <v>5.5690471364224337</v>
      </c>
      <c r="CN99" s="35" t="b">
        <f t="shared" si="294"/>
        <v>1</v>
      </c>
      <c r="CO99" s="35" t="b">
        <f t="shared" si="295"/>
        <v>1</v>
      </c>
      <c r="CP99">
        <f t="shared" si="329"/>
        <v>1994</v>
      </c>
      <c r="CQ99" s="52">
        <v>34471</v>
      </c>
      <c r="CR99">
        <f t="shared" si="350"/>
        <v>22</v>
      </c>
      <c r="CS99" t="str">
        <f t="shared" si="297"/>
        <v>Pendimethalin</v>
      </c>
      <c r="CT99">
        <f t="shared" si="298"/>
        <v>5</v>
      </c>
      <c r="CU99" s="7"/>
      <c r="CV99" s="7"/>
      <c r="CW99" s="21">
        <v>0.8</v>
      </c>
      <c r="CX99" s="21">
        <v>13792</v>
      </c>
      <c r="CY99" s="7" t="s">
        <v>2</v>
      </c>
      <c r="CZ99" s="33">
        <v>24</v>
      </c>
      <c r="DA99" s="1">
        <f t="shared" si="299"/>
        <v>1007</v>
      </c>
      <c r="DB99" s="3">
        <v>386.36363636363598</v>
      </c>
      <c r="DC99" s="3" t="s">
        <v>1</v>
      </c>
      <c r="DD99" s="32">
        <f t="shared" si="300"/>
        <v>110.336</v>
      </c>
      <c r="DE99" s="32">
        <f t="shared" si="301"/>
        <v>0.12212366201558444</v>
      </c>
      <c r="DF99">
        <f t="shared" si="330"/>
        <v>0.10883262348841581</v>
      </c>
      <c r="DG99">
        <f t="shared" ref="DG99:DG114" si="359">BJ99/(DB99*BR99)</f>
        <v>2.3523368941230211E-2</v>
      </c>
      <c r="DH99" s="2">
        <f t="shared" si="351"/>
        <v>2.2982737527100762E-2</v>
      </c>
      <c r="DI99" s="7">
        <f t="shared" si="302"/>
        <v>26.224311907592757</v>
      </c>
      <c r="DJ99" s="31">
        <f t="shared" si="352"/>
        <v>185.07380181214495</v>
      </c>
      <c r="DK99" s="31">
        <f t="shared" si="303"/>
        <v>4.2535026101911626</v>
      </c>
      <c r="DL99" s="31">
        <f t="shared" si="304"/>
        <v>180.82029920195379</v>
      </c>
      <c r="DM99" s="30">
        <f t="shared" si="353"/>
        <v>34.392331454779374</v>
      </c>
      <c r="DN99" s="30">
        <f t="shared" si="354"/>
        <v>26.007617003605709</v>
      </c>
      <c r="DO99" s="7">
        <v>24.79</v>
      </c>
      <c r="DP99" s="7">
        <f t="shared" si="305"/>
        <v>19.841112214498516</v>
      </c>
      <c r="DQ99" s="7">
        <f t="shared" si="306"/>
        <v>3.2320393935744653</v>
      </c>
      <c r="DR99" s="7">
        <f t="shared" si="57"/>
        <v>-0.27883970048022289</v>
      </c>
      <c r="DS99" s="6">
        <f t="shared" si="307"/>
        <v>-21.36</v>
      </c>
      <c r="DT99" s="5">
        <f t="shared" si="105"/>
        <v>25808.657407407409</v>
      </c>
      <c r="DU99" s="5">
        <f t="shared" si="106"/>
        <v>29541.113636363611</v>
      </c>
      <c r="DV99" s="5">
        <f t="shared" si="107"/>
        <v>8912.7402880000009</v>
      </c>
      <c r="DW99" s="5">
        <f t="shared" si="108"/>
        <v>7.0044101992575243</v>
      </c>
      <c r="DX99" s="5">
        <f t="shared" si="109"/>
        <v>6.9047280839397285</v>
      </c>
      <c r="DY99" s="5">
        <f t="shared" si="110"/>
        <v>8.5000255159398961</v>
      </c>
      <c r="DZ99" s="5">
        <f t="shared" si="111"/>
        <v>0</v>
      </c>
      <c r="EA99" s="5">
        <f t="shared" si="112"/>
        <v>-9.9682115317795805E-2</v>
      </c>
      <c r="EB99" s="5">
        <f t="shared" si="113"/>
        <v>1.4956153166823718</v>
      </c>
      <c r="EC99" s="16">
        <f t="shared" si="59"/>
        <v>7.0044101992575243</v>
      </c>
      <c r="ED99" s="3">
        <f t="shared" si="114"/>
        <v>17.571273932472725</v>
      </c>
      <c r="EE99" s="16">
        <f t="shared" si="60"/>
        <v>233.28887606752727</v>
      </c>
      <c r="EF99" s="16">
        <f t="shared" si="308"/>
        <v>4.6450000000000102</v>
      </c>
      <c r="EG99" s="16">
        <f t="shared" si="309"/>
        <v>370</v>
      </c>
      <c r="EH99" s="16">
        <f t="shared" si="310"/>
        <v>6.4381727904667336E-3</v>
      </c>
      <c r="EI99" s="20">
        <f t="shared" si="311"/>
        <v>6.1366489022180701</v>
      </c>
      <c r="EJ99" s="26">
        <f t="shared" si="115"/>
        <v>227.1522271653092</v>
      </c>
      <c r="EK99" s="29">
        <f t="shared" si="312"/>
        <v>5.3459550746529674</v>
      </c>
      <c r="EL99" s="28">
        <f t="shared" si="313"/>
        <v>7.0484084747167026</v>
      </c>
      <c r="EM99" s="25">
        <f t="shared" si="314"/>
        <v>92.945939172128178</v>
      </c>
      <c r="EN99" s="25">
        <f t="shared" si="315"/>
        <v>2</v>
      </c>
      <c r="EO99" s="25">
        <f t="shared" si="316"/>
        <v>8.0540608278718189</v>
      </c>
      <c r="EP99" s="25">
        <f t="shared" si="70"/>
        <v>2.8379677284761042</v>
      </c>
      <c r="EQ99" s="26">
        <f t="shared" si="71"/>
        <v>17.695827573890494</v>
      </c>
      <c r="ER99" s="26">
        <f t="shared" si="317"/>
        <v>0.40669856045555974</v>
      </c>
      <c r="ES99" s="26">
        <f t="shared" si="73"/>
        <v>17.289129013434934</v>
      </c>
      <c r="ET99" s="25">
        <f t="shared" si="318"/>
        <v>93.726924185198143</v>
      </c>
      <c r="EU99" s="25">
        <f t="shared" si="319"/>
        <v>92.925219893550931</v>
      </c>
      <c r="EV99" s="1"/>
      <c r="EW99" s="1"/>
      <c r="EX99" s="2"/>
      <c r="EY99" s="1"/>
      <c r="EZ99" s="22">
        <f t="shared" si="320"/>
        <v>34493</v>
      </c>
      <c r="FA99" s="3">
        <f t="shared" si="321"/>
        <v>3270</v>
      </c>
      <c r="FB99" s="3">
        <f t="shared" si="322"/>
        <v>3300</v>
      </c>
      <c r="FC99" s="3" t="b">
        <v>1</v>
      </c>
      <c r="FD99" s="3" t="b">
        <v>1</v>
      </c>
      <c r="FE99" s="20">
        <f t="shared" si="79"/>
        <v>2.6529675000801022E-2</v>
      </c>
      <c r="FF99" s="20">
        <f t="shared" si="80"/>
        <v>336.41975308641975</v>
      </c>
      <c r="FG99" s="20">
        <f t="shared" si="81"/>
        <v>2.4208657168650321E-2</v>
      </c>
      <c r="FH99" s="20">
        <f t="shared" si="82"/>
        <v>375.42662116040958</v>
      </c>
      <c r="FI99" s="19" t="s">
        <v>32</v>
      </c>
      <c r="FJ99" s="18" t="s">
        <v>0</v>
      </c>
      <c r="FK99" s="16">
        <f t="shared" si="323"/>
        <v>5.5690471364224337</v>
      </c>
      <c r="FL99" s="17">
        <f t="shared" si="84"/>
        <v>5.5690471364224337</v>
      </c>
      <c r="FM99" s="1">
        <f t="shared" si="85"/>
        <v>26.224311907592757</v>
      </c>
      <c r="FN99" s="1">
        <f t="shared" si="86"/>
        <v>7.0044101992575243</v>
      </c>
      <c r="FO99" s="1">
        <f t="shared" si="327"/>
        <v>7.0044101992575243</v>
      </c>
      <c r="FP99" s="1">
        <f t="shared" si="328"/>
        <v>8.5000255159398961</v>
      </c>
      <c r="FQ99" s="1">
        <f t="shared" si="87"/>
        <v>92.945939172128178</v>
      </c>
      <c r="FR99" s="16">
        <f t="shared" ref="FR99:FR114" si="360">IF(AND(CH99&lt;100,CH99&gt;=0, CD99=TRUE,CK99=TRUE),IFERROR(CB99,FALSE),FALSE)</f>
        <v>13.635311973642834</v>
      </c>
      <c r="FS99" s="17">
        <f t="shared" si="89"/>
        <v>13.635311973642834</v>
      </c>
      <c r="FT99" s="1">
        <f t="shared" si="90"/>
        <v>34.392331454779374</v>
      </c>
      <c r="FU99" s="1">
        <f t="shared" si="91"/>
        <v>5.3459550746529674</v>
      </c>
      <c r="FV99" s="1">
        <f t="shared" si="92"/>
        <v>93.726924185198143</v>
      </c>
      <c r="FW99" s="16">
        <f t="shared" ref="FW99:FW114" si="361">IF(AND(CH99&lt;100,CH99&gt;=0,CG99=TRUE,CK99=TRUE),IFERROR(CE99, FALSE),FALSE)</f>
        <v>5.355051751820592</v>
      </c>
      <c r="FX99" s="15">
        <f t="shared" si="94"/>
        <v>5.355051751820592</v>
      </c>
      <c r="FY99" s="15">
        <f t="shared" si="95"/>
        <v>26.007617003605709</v>
      </c>
      <c r="FZ99" s="15">
        <f t="shared" si="96"/>
        <v>7.0484084747167026</v>
      </c>
      <c r="GA99" s="15">
        <f t="shared" si="97"/>
        <v>92.925219893550931</v>
      </c>
      <c r="GC99">
        <f t="shared" si="98"/>
        <v>36.742800397219469</v>
      </c>
      <c r="GD99">
        <f t="shared" si="99"/>
        <v>6.2154603722585868</v>
      </c>
      <c r="GE99" s="14">
        <f t="shared" si="324"/>
        <v>5.5690471364224337</v>
      </c>
      <c r="GF99" t="e">
        <f>IF(#REF!=FALSE,FALSE,CH99)</f>
        <v>#REF!</v>
      </c>
      <c r="GG99" t="e">
        <f>IF(#REF!=FALSE,FALSE,AN99)</f>
        <v>#REF!</v>
      </c>
      <c r="GH99" s="13" t="e">
        <f>#REF!</f>
        <v>#REF!</v>
      </c>
      <c r="GI99">
        <f t="shared" si="101"/>
        <v>6.2154603722585868</v>
      </c>
      <c r="GJ99">
        <f t="shared" si="102"/>
        <v>74.733000000000004</v>
      </c>
      <c r="GK99" s="13">
        <f t="shared" si="325"/>
        <v>5.355051751820592</v>
      </c>
      <c r="GL99" t="str">
        <f t="shared" si="326"/>
        <v>PND</v>
      </c>
      <c r="GQ99" s="1"/>
      <c r="GR99" s="1"/>
      <c r="GS99" s="1"/>
      <c r="GT99" s="1"/>
      <c r="GU99" s="1"/>
      <c r="GV99" s="1"/>
      <c r="HA99" s="1"/>
    </row>
    <row r="100" spans="1:209">
      <c r="A100" t="s">
        <v>13</v>
      </c>
      <c r="B100" s="21" t="s">
        <v>12</v>
      </c>
      <c r="C100" s="21" t="s">
        <v>11</v>
      </c>
      <c r="D100" t="s">
        <v>16</v>
      </c>
      <c r="E100" t="s">
        <v>10</v>
      </c>
      <c r="F100" t="s">
        <v>9</v>
      </c>
      <c r="G100">
        <v>50</v>
      </c>
      <c r="H100">
        <v>10</v>
      </c>
      <c r="I100">
        <v>2.5</v>
      </c>
      <c r="J100" s="21">
        <f t="shared" si="270"/>
        <v>25</v>
      </c>
      <c r="K100" t="s">
        <v>8</v>
      </c>
      <c r="L100" t="s">
        <v>7</v>
      </c>
      <c r="U100" t="s">
        <v>6</v>
      </c>
      <c r="V100" s="53">
        <f t="shared" si="331"/>
        <v>2</v>
      </c>
      <c r="W100" t="s">
        <v>5</v>
      </c>
      <c r="X100">
        <v>10</v>
      </c>
      <c r="Y100" s="52" t="s">
        <v>4</v>
      </c>
      <c r="Z100" s="52" t="s">
        <v>3</v>
      </c>
      <c r="AA100" s="52"/>
      <c r="AB100" s="52">
        <v>34493</v>
      </c>
      <c r="AC100" s="52">
        <v>34493</v>
      </c>
      <c r="AD100" s="21">
        <f t="shared" si="332"/>
        <v>27.2</v>
      </c>
      <c r="AE100" s="21">
        <v>27.2</v>
      </c>
      <c r="AF100" s="21"/>
      <c r="AG100" s="52"/>
      <c r="AH100" s="52"/>
      <c r="AI100" t="b">
        <v>0</v>
      </c>
      <c r="AJ100" s="50">
        <f t="shared" si="333"/>
        <v>13.34</v>
      </c>
      <c r="AK100" s="16">
        <f t="shared" si="334"/>
        <v>26.68</v>
      </c>
      <c r="AL100">
        <v>667</v>
      </c>
      <c r="AM100" s="7">
        <f t="shared" si="335"/>
        <v>53.88</v>
      </c>
      <c r="AN100" s="21">
        <f t="shared" si="355"/>
        <v>1347</v>
      </c>
      <c r="AQ100" s="52"/>
      <c r="AS100" s="45">
        <f t="shared" si="336"/>
        <v>14946.6</v>
      </c>
      <c r="AT100">
        <v>74733</v>
      </c>
      <c r="AU100">
        <v>112000</v>
      </c>
      <c r="AV100">
        <f t="shared" si="337"/>
        <v>74.733000000000004</v>
      </c>
      <c r="AW100" s="55"/>
      <c r="AX100">
        <v>9.7200000000000006</v>
      </c>
      <c r="AY100" s="21">
        <f t="shared" si="277"/>
        <v>4.8130957683741658</v>
      </c>
      <c r="BA100" s="51">
        <v>3270</v>
      </c>
      <c r="BB100" s="8">
        <f t="shared" si="338"/>
        <v>3270</v>
      </c>
      <c r="BC100" s="24">
        <f t="shared" si="339"/>
        <v>250.86015</v>
      </c>
      <c r="BD100" s="7">
        <f t="shared" si="340"/>
        <v>6.4832400000000012</v>
      </c>
      <c r="BE100" s="7"/>
      <c r="BF100" s="43">
        <f t="shared" si="341"/>
        <v>6.4832400000000012</v>
      </c>
      <c r="BG100">
        <f t="shared" si="342"/>
        <v>244.37691000000001</v>
      </c>
      <c r="BH100" s="50">
        <f t="shared" si="343"/>
        <v>17</v>
      </c>
      <c r="BI100" s="21">
        <f t="shared" si="356"/>
        <v>34</v>
      </c>
      <c r="BJ100">
        <v>850</v>
      </c>
      <c r="BL100">
        <v>20000</v>
      </c>
      <c r="BQ100">
        <v>17001</v>
      </c>
      <c r="BR100">
        <f t="shared" si="344"/>
        <v>17.001000000000001</v>
      </c>
      <c r="BS100" s="54"/>
      <c r="BT100">
        <v>8.4499999999999993</v>
      </c>
      <c r="BV100">
        <v>2200</v>
      </c>
      <c r="BW100" s="24">
        <f t="shared" si="345"/>
        <v>44.584700000000005</v>
      </c>
      <c r="BX100">
        <f t="shared" si="346"/>
        <v>7.1824999999999992</v>
      </c>
      <c r="BZ100" s="21">
        <f t="shared" si="347"/>
        <v>7.1824999999999992</v>
      </c>
      <c r="CA100">
        <f t="shared" si="348"/>
        <v>37.402200000000008</v>
      </c>
      <c r="CB100" s="40">
        <f t="shared" si="285"/>
        <v>-10.785656554438797</v>
      </c>
      <c r="CC100" s="39" t="b">
        <f t="shared" si="286"/>
        <v>0</v>
      </c>
      <c r="CD100" s="39" t="b">
        <f t="shared" si="287"/>
        <v>0</v>
      </c>
      <c r="CE100" s="38">
        <f t="shared" si="357"/>
        <v>84.694871540850571</v>
      </c>
      <c r="CF100" s="35" t="b">
        <f t="shared" si="288"/>
        <v>1</v>
      </c>
      <c r="CG100" s="35" t="b">
        <f t="shared" si="289"/>
        <v>1</v>
      </c>
      <c r="CH100" s="17">
        <f t="shared" si="290"/>
        <v>36.896807720861176</v>
      </c>
      <c r="CI100" s="16">
        <f t="shared" si="358"/>
        <v>77.251013608446058</v>
      </c>
      <c r="CJ100" s="35" t="b">
        <f t="shared" si="291"/>
        <v>1</v>
      </c>
      <c r="CK100" s="35" t="b">
        <f t="shared" si="292"/>
        <v>1</v>
      </c>
      <c r="CL100" s="37">
        <f t="shared" si="293"/>
        <v>-27.436281859070466</v>
      </c>
      <c r="CM100" s="36">
        <f t="shared" si="349"/>
        <v>82.227268858764532</v>
      </c>
      <c r="CN100" s="35" t="b">
        <f t="shared" si="294"/>
        <v>1</v>
      </c>
      <c r="CO100" s="35" t="b">
        <f t="shared" si="295"/>
        <v>1</v>
      </c>
      <c r="CP100">
        <f t="shared" si="329"/>
        <v>1994</v>
      </c>
      <c r="CQ100" s="52">
        <v>34471</v>
      </c>
      <c r="CR100">
        <f t="shared" si="350"/>
        <v>22</v>
      </c>
      <c r="CS100" t="str">
        <f t="shared" si="297"/>
        <v>Pendimethalin</v>
      </c>
      <c r="CT100">
        <f t="shared" si="298"/>
        <v>10</v>
      </c>
      <c r="CU100" s="7"/>
      <c r="CV100" s="7"/>
      <c r="CW100" s="21">
        <v>0.8</v>
      </c>
      <c r="CX100" s="21">
        <v>13792</v>
      </c>
      <c r="CY100" s="7" t="s">
        <v>2</v>
      </c>
      <c r="CZ100" s="33">
        <v>24</v>
      </c>
      <c r="DA100" s="1">
        <f t="shared" si="299"/>
        <v>1347</v>
      </c>
      <c r="DB100" s="3">
        <v>386.36363636363598</v>
      </c>
      <c r="DC100" s="3" t="s">
        <v>1</v>
      </c>
      <c r="DD100" s="32">
        <f t="shared" si="300"/>
        <v>110.336</v>
      </c>
      <c r="DE100" s="32">
        <f t="shared" si="301"/>
        <v>0.1633570732224352</v>
      </c>
      <c r="DF100">
        <f t="shared" si="330"/>
        <v>0.1404186874198006</v>
      </c>
      <c r="DG100">
        <f t="shared" si="359"/>
        <v>0.12940415269690031</v>
      </c>
      <c r="DH100" s="2">
        <f t="shared" si="351"/>
        <v>0.11457736576219998</v>
      </c>
      <c r="DI100" s="7">
        <f t="shared" si="302"/>
        <v>63.158633398687854</v>
      </c>
      <c r="DJ100" s="31">
        <f t="shared" si="352"/>
        <v>92.420307518101538</v>
      </c>
      <c r="DK100" s="31">
        <f t="shared" si="303"/>
        <v>10.589275378356518</v>
      </c>
      <c r="DL100" s="31">
        <f t="shared" si="304"/>
        <v>81.83103213974502</v>
      </c>
      <c r="DM100" s="30">
        <f t="shared" si="353"/>
        <v>-63.333076954678781</v>
      </c>
      <c r="DN100" s="30">
        <f t="shared" si="354"/>
        <v>66.514417364658144</v>
      </c>
      <c r="DO100" s="7">
        <v>24.79</v>
      </c>
      <c r="DP100" s="7">
        <f t="shared" si="305"/>
        <v>19.924276169265035</v>
      </c>
      <c r="DQ100" s="7">
        <f t="shared" si="306"/>
        <v>40.170527076391949</v>
      </c>
      <c r="DR100" s="7">
        <f t="shared" si="57"/>
        <v>-0.36616984696912586</v>
      </c>
      <c r="DS100" s="6">
        <f t="shared" si="307"/>
        <v>-21.36</v>
      </c>
      <c r="DT100" s="5">
        <f t="shared" si="105"/>
        <v>25808.657407407409</v>
      </c>
      <c r="DU100" s="5">
        <f t="shared" si="106"/>
        <v>29541.113636363611</v>
      </c>
      <c r="DV100" s="5">
        <f t="shared" si="107"/>
        <v>8912.7402880000009</v>
      </c>
      <c r="DW100" s="5">
        <f t="shared" si="108"/>
        <v>76.208097857265074</v>
      </c>
      <c r="DX100" s="5">
        <f t="shared" si="109"/>
        <v>76.339868021372226</v>
      </c>
      <c r="DY100" s="5">
        <f t="shared" si="110"/>
        <v>74.231038330667701</v>
      </c>
      <c r="DZ100" s="5">
        <f t="shared" si="111"/>
        <v>0</v>
      </c>
      <c r="EA100" s="5">
        <f t="shared" si="112"/>
        <v>0.13177016410715225</v>
      </c>
      <c r="EB100" s="5">
        <f t="shared" si="113"/>
        <v>-1.9770595265973725</v>
      </c>
      <c r="EC100" s="16">
        <f t="shared" si="59"/>
        <v>76.208097857265074</v>
      </c>
      <c r="ED100" s="3">
        <f t="shared" si="114"/>
        <v>191.17574859688196</v>
      </c>
      <c r="EE100" s="16">
        <f t="shared" si="60"/>
        <v>59.684401403118045</v>
      </c>
      <c r="EF100" s="16">
        <f t="shared" si="308"/>
        <v>57.731999999999999</v>
      </c>
      <c r="EG100" s="16">
        <f t="shared" si="309"/>
        <v>497</v>
      </c>
      <c r="EH100" s="16">
        <f t="shared" si="310"/>
        <v>4.8130957683741654E-3</v>
      </c>
      <c r="EI100" s="20">
        <f t="shared" si="311"/>
        <v>7.7223465564010851</v>
      </c>
      <c r="EJ100" s="26">
        <f t="shared" si="115"/>
        <v>51.96205484671696</v>
      </c>
      <c r="EK100" s="29">
        <f t="shared" si="312"/>
        <v>-19.112458530010979</v>
      </c>
      <c r="EL100" s="28">
        <f t="shared" si="313"/>
        <v>78.736921239115034</v>
      </c>
      <c r="EM100" s="25">
        <f t="shared" si="314"/>
        <v>82.92841641935911</v>
      </c>
      <c r="EN100" s="25">
        <f t="shared" si="315"/>
        <v>2</v>
      </c>
      <c r="EO100" s="25">
        <f t="shared" si="316"/>
        <v>18.071583580640883</v>
      </c>
      <c r="EP100" s="25">
        <f t="shared" si="70"/>
        <v>4.2510685222236635</v>
      </c>
      <c r="EQ100" s="26">
        <f t="shared" si="71"/>
        <v>42.825800177771114</v>
      </c>
      <c r="ER100" s="26">
        <f t="shared" si="317"/>
        <v>4.9068673710273671</v>
      </c>
      <c r="ES100" s="26">
        <f t="shared" si="73"/>
        <v>37.918932806743747</v>
      </c>
      <c r="ET100" s="25">
        <f t="shared" si="318"/>
        <v>24.314580811024022</v>
      </c>
      <c r="EU100" s="25">
        <f t="shared" si="319"/>
        <v>84.483422428598615</v>
      </c>
      <c r="EV100" s="1"/>
      <c r="EW100" s="1"/>
      <c r="EX100" s="2"/>
      <c r="EY100" s="1"/>
      <c r="EZ100" s="22">
        <f t="shared" si="320"/>
        <v>34493</v>
      </c>
      <c r="FA100" s="3">
        <f t="shared" si="321"/>
        <v>3270</v>
      </c>
      <c r="FB100" s="3">
        <f t="shared" si="322"/>
        <v>2200</v>
      </c>
      <c r="FC100" s="3" t="b">
        <v>1</v>
      </c>
      <c r="FD100" s="3" t="b">
        <v>1</v>
      </c>
      <c r="FE100" s="20">
        <f t="shared" si="79"/>
        <v>2.6529675000801022E-2</v>
      </c>
      <c r="FF100" s="20">
        <f t="shared" si="80"/>
        <v>336.41975308641975</v>
      </c>
      <c r="FG100" s="20">
        <f t="shared" si="81"/>
        <v>0.1920341584184887</v>
      </c>
      <c r="FH100" s="20">
        <f t="shared" si="82"/>
        <v>260.35502958579883</v>
      </c>
      <c r="FI100" s="19" t="s">
        <v>31</v>
      </c>
      <c r="FJ100" s="18" t="s">
        <v>0</v>
      </c>
      <c r="FK100" s="16">
        <f t="shared" si="323"/>
        <v>82.227268858764532</v>
      </c>
      <c r="FL100" s="17">
        <f t="shared" si="84"/>
        <v>82.227268858764532</v>
      </c>
      <c r="FM100" s="1">
        <f t="shared" si="85"/>
        <v>63.158633398687854</v>
      </c>
      <c r="FN100" s="1">
        <f t="shared" si="86"/>
        <v>76.208097857265074</v>
      </c>
      <c r="FO100" s="1">
        <f t="shared" si="327"/>
        <v>76.208097857265074</v>
      </c>
      <c r="FP100" s="1">
        <f t="shared" si="328"/>
        <v>74.231038330667701</v>
      </c>
      <c r="FQ100" s="1">
        <f t="shared" si="87"/>
        <v>82.92841641935911</v>
      </c>
      <c r="FR100" s="16" t="b">
        <f t="shared" si="360"/>
        <v>0</v>
      </c>
      <c r="FS100" s="17" t="b">
        <f t="shared" si="89"/>
        <v>0</v>
      </c>
      <c r="FT100" s="1" t="b">
        <f t="shared" si="90"/>
        <v>0</v>
      </c>
      <c r="FU100" s="1" t="b">
        <f t="shared" si="91"/>
        <v>0</v>
      </c>
      <c r="FV100" s="1" t="b">
        <f t="shared" si="92"/>
        <v>0</v>
      </c>
      <c r="FW100" s="16">
        <f t="shared" si="361"/>
        <v>84.694871540850571</v>
      </c>
      <c r="FX100" s="15">
        <f t="shared" si="94"/>
        <v>84.694871540850571</v>
      </c>
      <c r="FY100" s="15">
        <f t="shared" si="95"/>
        <v>66.514417364658144</v>
      </c>
      <c r="FZ100" s="15">
        <f t="shared" si="96"/>
        <v>78.736921239115034</v>
      </c>
      <c r="GA100" s="15">
        <f t="shared" si="97"/>
        <v>84.483422428598615</v>
      </c>
      <c r="GC100">
        <f t="shared" si="98"/>
        <v>36.896807720861176</v>
      </c>
      <c r="GD100">
        <f t="shared" si="99"/>
        <v>77.251013608446058</v>
      </c>
      <c r="GE100" s="14">
        <f t="shared" si="324"/>
        <v>82.227268858764532</v>
      </c>
      <c r="GF100" t="e">
        <f>IF(#REF!=FALSE,FALSE,CH100)</f>
        <v>#REF!</v>
      </c>
      <c r="GG100" t="e">
        <f>IF(#REF!=FALSE,FALSE,AN100)</f>
        <v>#REF!</v>
      </c>
      <c r="GH100" s="13" t="e">
        <f>#REF!</f>
        <v>#REF!</v>
      </c>
      <c r="GI100">
        <f t="shared" si="101"/>
        <v>77.251013608446058</v>
      </c>
      <c r="GJ100">
        <f t="shared" si="102"/>
        <v>74.733000000000004</v>
      </c>
      <c r="GK100" s="13">
        <f t="shared" si="325"/>
        <v>84.694871540850571</v>
      </c>
      <c r="GL100" t="str">
        <f t="shared" si="326"/>
        <v>PND</v>
      </c>
      <c r="GQ100" s="1"/>
      <c r="GR100" s="1"/>
      <c r="GS100" s="1"/>
      <c r="GT100" s="1"/>
      <c r="GU100" s="1"/>
      <c r="GV100" s="1"/>
      <c r="HA100" s="1"/>
    </row>
    <row r="101" spans="1:209" s="12" customFormat="1">
      <c r="A101" s="12" t="s">
        <v>13</v>
      </c>
      <c r="B101" s="41" t="s">
        <v>12</v>
      </c>
      <c r="C101" s="41" t="s">
        <v>11</v>
      </c>
      <c r="D101" s="12" t="s">
        <v>14</v>
      </c>
      <c r="E101" s="12" t="s">
        <v>10</v>
      </c>
      <c r="F101" s="12" t="s">
        <v>9</v>
      </c>
      <c r="G101" s="12">
        <v>50</v>
      </c>
      <c r="H101" s="12">
        <v>20</v>
      </c>
      <c r="I101" s="12">
        <v>2.5</v>
      </c>
      <c r="J101" s="41">
        <f t="shared" si="270"/>
        <v>50</v>
      </c>
      <c r="K101" s="12" t="s">
        <v>8</v>
      </c>
      <c r="L101" s="12" t="s">
        <v>7</v>
      </c>
      <c r="U101" s="12" t="s">
        <v>6</v>
      </c>
      <c r="V101" s="48">
        <f t="shared" si="331"/>
        <v>1</v>
      </c>
      <c r="W101" s="12" t="s">
        <v>5</v>
      </c>
      <c r="X101" s="12">
        <v>10</v>
      </c>
      <c r="Y101" s="46" t="s">
        <v>4</v>
      </c>
      <c r="Z101" s="46" t="s">
        <v>3</v>
      </c>
      <c r="AA101" s="46"/>
      <c r="AB101" s="46">
        <v>34493</v>
      </c>
      <c r="AC101" s="46">
        <v>34493</v>
      </c>
      <c r="AD101" s="41">
        <f t="shared" si="332"/>
        <v>27.2</v>
      </c>
      <c r="AE101" s="41">
        <v>27.2</v>
      </c>
      <c r="AF101" s="41"/>
      <c r="AG101" s="46"/>
      <c r="AH101" s="46"/>
      <c r="AI101" s="12" t="b">
        <v>0</v>
      </c>
      <c r="AJ101" s="42">
        <f t="shared" si="333"/>
        <v>13.34</v>
      </c>
      <c r="AK101" s="47">
        <f t="shared" si="334"/>
        <v>13.34</v>
      </c>
      <c r="AL101" s="12">
        <v>667</v>
      </c>
      <c r="AM101" s="34">
        <f t="shared" si="335"/>
        <v>40.54</v>
      </c>
      <c r="AN101" s="41">
        <f t="shared" si="355"/>
        <v>2027</v>
      </c>
      <c r="AQ101" s="46"/>
      <c r="AS101" s="79">
        <f t="shared" si="336"/>
        <v>14946.6</v>
      </c>
      <c r="AT101" s="12">
        <v>74733</v>
      </c>
      <c r="AU101" s="12">
        <v>112000</v>
      </c>
      <c r="AV101" s="12">
        <f t="shared" si="337"/>
        <v>74.733000000000004</v>
      </c>
      <c r="AW101" s="77"/>
      <c r="AX101" s="12">
        <v>9.7200000000000006</v>
      </c>
      <c r="AY101" s="41">
        <f t="shared" si="277"/>
        <v>3.1984410458806121</v>
      </c>
      <c r="BA101" s="44">
        <v>3270</v>
      </c>
      <c r="BB101" s="64">
        <f t="shared" si="338"/>
        <v>3270</v>
      </c>
      <c r="BC101" s="61">
        <f t="shared" si="339"/>
        <v>250.86015</v>
      </c>
      <c r="BD101" s="34">
        <f t="shared" si="340"/>
        <v>6.4832400000000012</v>
      </c>
      <c r="BE101" s="34"/>
      <c r="BF101" s="78">
        <f t="shared" si="341"/>
        <v>6.4832400000000012</v>
      </c>
      <c r="BG101" s="12">
        <f t="shared" si="342"/>
        <v>244.37691000000001</v>
      </c>
      <c r="BH101" s="42">
        <f t="shared" si="343"/>
        <v>16.02</v>
      </c>
      <c r="BI101" s="41">
        <f t="shared" si="356"/>
        <v>16.02</v>
      </c>
      <c r="BJ101" s="12">
        <v>801</v>
      </c>
      <c r="BL101" s="12">
        <v>10000</v>
      </c>
      <c r="BQ101" s="12">
        <v>8007</v>
      </c>
      <c r="BR101" s="12">
        <f t="shared" si="344"/>
        <v>8.0069999999999997</v>
      </c>
      <c r="BS101" s="77"/>
      <c r="BT101" s="12">
        <v>9.43</v>
      </c>
      <c r="BV101" s="12">
        <v>2170</v>
      </c>
      <c r="BW101" s="61">
        <f t="shared" si="345"/>
        <v>24.928619999999999</v>
      </c>
      <c r="BX101" s="12">
        <f t="shared" si="346"/>
        <v>7.5534299999999996</v>
      </c>
      <c r="BZ101" s="41">
        <f t="shared" si="347"/>
        <v>7.5534299999999996</v>
      </c>
      <c r="CA101" s="12">
        <f t="shared" si="348"/>
        <v>17.37519</v>
      </c>
      <c r="CB101" s="76">
        <f t="shared" si="285"/>
        <v>-16.50702426564493</v>
      </c>
      <c r="CC101" s="75" t="b">
        <f t="shared" si="286"/>
        <v>0</v>
      </c>
      <c r="CD101" s="75" t="b">
        <f t="shared" si="287"/>
        <v>0</v>
      </c>
      <c r="CE101" s="74">
        <f t="shared" si="357"/>
        <v>92.890003396802086</v>
      </c>
      <c r="CF101" s="69" t="b">
        <f t="shared" si="288"/>
        <v>1</v>
      </c>
      <c r="CG101" s="69" t="b">
        <f t="shared" si="289"/>
        <v>1</v>
      </c>
      <c r="CH101" s="57">
        <f t="shared" si="290"/>
        <v>60.483473112974842</v>
      </c>
      <c r="CI101" s="47">
        <f t="shared" si="358"/>
        <v>89.285857653245543</v>
      </c>
      <c r="CJ101" s="69" t="b">
        <f t="shared" si="291"/>
        <v>1</v>
      </c>
      <c r="CK101" s="69" t="b">
        <f t="shared" si="292"/>
        <v>1</v>
      </c>
      <c r="CL101" s="73">
        <f t="shared" si="293"/>
        <v>-20.089955022488756</v>
      </c>
      <c r="CM101" s="72">
        <f t="shared" si="349"/>
        <v>90.062742129429481</v>
      </c>
      <c r="CN101" s="69" t="b">
        <f t="shared" si="294"/>
        <v>1</v>
      </c>
      <c r="CO101" s="69" t="b">
        <f t="shared" si="295"/>
        <v>1</v>
      </c>
      <c r="CP101" s="12">
        <f t="shared" si="329"/>
        <v>1994</v>
      </c>
      <c r="CQ101" s="46">
        <v>34471</v>
      </c>
      <c r="CR101" s="12">
        <f t="shared" si="350"/>
        <v>22</v>
      </c>
      <c r="CS101" s="12" t="str">
        <f t="shared" si="297"/>
        <v>Pendimethalin</v>
      </c>
      <c r="CT101" s="12">
        <f t="shared" si="298"/>
        <v>20</v>
      </c>
      <c r="CU101" s="34"/>
      <c r="CV101" s="34"/>
      <c r="CW101" s="41">
        <v>0.8</v>
      </c>
      <c r="CX101" s="41">
        <v>13792</v>
      </c>
      <c r="CY101" s="34" t="s">
        <v>2</v>
      </c>
      <c r="CZ101" s="71">
        <v>24</v>
      </c>
      <c r="DA101" s="12">
        <f t="shared" si="299"/>
        <v>2027</v>
      </c>
      <c r="DB101" s="64">
        <v>386.36363636363598</v>
      </c>
      <c r="DC101" s="64" t="s">
        <v>1</v>
      </c>
      <c r="DD101" s="60">
        <f t="shared" si="300"/>
        <v>110.336</v>
      </c>
      <c r="DE101" s="60">
        <f t="shared" si="301"/>
        <v>0.24582389563613671</v>
      </c>
      <c r="DF101" s="12">
        <f t="shared" si="330"/>
        <v>0.19731833407370572</v>
      </c>
      <c r="DG101" s="12">
        <f t="shared" si="359"/>
        <v>0.25892050338306949</v>
      </c>
      <c r="DH101" s="23">
        <f t="shared" si="351"/>
        <v>0.20566866826561175</v>
      </c>
      <c r="DI101" s="34">
        <f t="shared" si="302"/>
        <v>81.987812540135764</v>
      </c>
      <c r="DJ101" s="70">
        <f t="shared" si="352"/>
        <v>45.185400480096618</v>
      </c>
      <c r="DK101" s="70">
        <f t="shared" si="303"/>
        <v>9.2932211417898074</v>
      </c>
      <c r="DL101" s="70">
        <f t="shared" si="304"/>
        <v>35.892179338306811</v>
      </c>
      <c r="DM101" s="69">
        <f t="shared" si="353"/>
        <v>-43.342235391406234</v>
      </c>
      <c r="DN101" s="69">
        <f t="shared" si="354"/>
        <v>85.312777979594372</v>
      </c>
      <c r="DO101" s="34">
        <v>24.79</v>
      </c>
      <c r="DP101" s="34">
        <f t="shared" si="305"/>
        <v>32.661075481006414</v>
      </c>
      <c r="DQ101" s="34">
        <f t="shared" si="306"/>
        <v>46.428645979687687</v>
      </c>
      <c r="DR101" s="7">
        <f t="shared" si="57"/>
        <v>-0.53190892055833083</v>
      </c>
      <c r="DS101" s="68">
        <f t="shared" si="307"/>
        <v>-21.36</v>
      </c>
      <c r="DT101" s="5">
        <f t="shared" si="105"/>
        <v>25808.657407407409</v>
      </c>
      <c r="DU101" s="5">
        <f t="shared" si="106"/>
        <v>29541.113636363611</v>
      </c>
      <c r="DV101" s="5">
        <f t="shared" si="107"/>
        <v>8912.7402880000009</v>
      </c>
      <c r="DW101" s="5">
        <f t="shared" si="108"/>
        <v>88.541487646503299</v>
      </c>
      <c r="DX101" s="5">
        <f t="shared" si="109"/>
        <v>88.635537197326357</v>
      </c>
      <c r="DY101" s="5">
        <f t="shared" si="110"/>
        <v>87.130382471922658</v>
      </c>
      <c r="DZ101" s="5">
        <f t="shared" si="111"/>
        <v>0</v>
      </c>
      <c r="EA101" s="5">
        <f t="shared" si="112"/>
        <v>9.4049550823058325E-2</v>
      </c>
      <c r="EB101" s="5">
        <f t="shared" si="113"/>
        <v>-1.4111051745806407</v>
      </c>
      <c r="EC101" s="47">
        <f t="shared" si="59"/>
        <v>88.541487646503299</v>
      </c>
      <c r="ED101" s="64">
        <f t="shared" si="114"/>
        <v>222.11530872224964</v>
      </c>
      <c r="EE101" s="47">
        <f t="shared" si="60"/>
        <v>28.744841277750368</v>
      </c>
      <c r="EF101" s="47">
        <f t="shared" si="308"/>
        <v>66.725999999999999</v>
      </c>
      <c r="EG101" s="47">
        <f t="shared" si="309"/>
        <v>1226</v>
      </c>
      <c r="EH101" s="47">
        <f t="shared" si="310"/>
        <v>3.198441045880612E-3</v>
      </c>
      <c r="EI101" s="67">
        <f t="shared" si="311"/>
        <v>6.5884145872617879</v>
      </c>
      <c r="EJ101" s="26">
        <f t="shared" si="115"/>
        <v>22.15642669048858</v>
      </c>
      <c r="EK101" s="66">
        <f t="shared" si="312"/>
        <v>-1.6222534914917017</v>
      </c>
      <c r="EL101" s="65">
        <f t="shared" si="313"/>
        <v>90.933502395750651</v>
      </c>
      <c r="EM101" s="62">
        <f t="shared" si="314"/>
        <v>91.535113649162909</v>
      </c>
      <c r="EN101" s="62">
        <f t="shared" si="315"/>
        <v>2</v>
      </c>
      <c r="EO101" s="62">
        <f t="shared" si="316"/>
        <v>9.4648863508370962</v>
      </c>
      <c r="EP101" s="62">
        <f t="shared" si="70"/>
        <v>3.0765055421430816</v>
      </c>
      <c r="EQ101" s="63">
        <f t="shared" si="71"/>
        <v>21.235026597039443</v>
      </c>
      <c r="ER101" s="63">
        <f t="shared" si="317"/>
        <v>4.3673796407979495</v>
      </c>
      <c r="ES101" s="63">
        <f t="shared" si="73"/>
        <v>16.867646956241494</v>
      </c>
      <c r="ET101" s="62">
        <f t="shared" si="318"/>
        <v>32.635848113012187</v>
      </c>
      <c r="EU101" s="62">
        <f t="shared" si="319"/>
        <v>93.097692021622876</v>
      </c>
      <c r="EX101" s="23"/>
      <c r="EZ101" s="46">
        <f t="shared" si="320"/>
        <v>34493</v>
      </c>
      <c r="FA101" s="64">
        <f t="shared" si="321"/>
        <v>3270</v>
      </c>
      <c r="FB101" s="64">
        <f t="shared" si="322"/>
        <v>2170</v>
      </c>
      <c r="FC101" s="64" t="b">
        <v>1</v>
      </c>
      <c r="FD101" s="64" t="b">
        <v>1</v>
      </c>
      <c r="FE101" s="20">
        <f t="shared" si="79"/>
        <v>2.6529675000801022E-2</v>
      </c>
      <c r="FF101" s="20">
        <f t="shared" si="80"/>
        <v>336.41975308641975</v>
      </c>
      <c r="FG101" s="20">
        <f t="shared" si="81"/>
        <v>0.43472503034499188</v>
      </c>
      <c r="FH101" s="20">
        <f t="shared" si="82"/>
        <v>230.1166489925769</v>
      </c>
      <c r="FI101" s="59" t="s">
        <v>30</v>
      </c>
      <c r="FJ101" s="58" t="s">
        <v>0</v>
      </c>
      <c r="FK101" s="47">
        <f t="shared" si="323"/>
        <v>90.062742129429481</v>
      </c>
      <c r="FL101" s="57">
        <f t="shared" si="84"/>
        <v>90.062742129429481</v>
      </c>
      <c r="FM101" s="12">
        <f t="shared" si="85"/>
        <v>81.987812540135764</v>
      </c>
      <c r="FN101" s="12">
        <f t="shared" si="86"/>
        <v>88.541487646503299</v>
      </c>
      <c r="FO101" s="1">
        <f t="shared" si="327"/>
        <v>88.541487646503299</v>
      </c>
      <c r="FP101" s="1">
        <f t="shared" si="328"/>
        <v>87.130382471922658</v>
      </c>
      <c r="FQ101" s="12">
        <f t="shared" si="87"/>
        <v>91.535113649162909</v>
      </c>
      <c r="FR101" s="47" t="b">
        <f t="shared" si="360"/>
        <v>0</v>
      </c>
      <c r="FS101" s="57" t="b">
        <f t="shared" si="89"/>
        <v>0</v>
      </c>
      <c r="FT101" s="12" t="b">
        <f t="shared" si="90"/>
        <v>0</v>
      </c>
      <c r="FU101" s="12" t="b">
        <f t="shared" si="91"/>
        <v>0</v>
      </c>
      <c r="FV101" s="12" t="b">
        <f t="shared" si="92"/>
        <v>0</v>
      </c>
      <c r="FW101" s="47">
        <f t="shared" si="361"/>
        <v>92.890003396802086</v>
      </c>
      <c r="FX101" s="56">
        <f t="shared" si="94"/>
        <v>92.890003396802086</v>
      </c>
      <c r="FY101" s="56">
        <f t="shared" si="95"/>
        <v>85.312777979594372</v>
      </c>
      <c r="FZ101" s="56">
        <f t="shared" si="96"/>
        <v>90.933502395750651</v>
      </c>
      <c r="GA101" s="56">
        <f t="shared" si="97"/>
        <v>93.097692021622876</v>
      </c>
      <c r="GC101" s="12">
        <f t="shared" si="98"/>
        <v>60.483473112974842</v>
      </c>
      <c r="GD101" s="12">
        <f t="shared" si="99"/>
        <v>89.285857653245543</v>
      </c>
      <c r="GE101" s="57">
        <f t="shared" si="324"/>
        <v>90.062742129429481</v>
      </c>
      <c r="GF101" s="12" t="e">
        <f>IF(#REF!=FALSE,FALSE,CH101)</f>
        <v>#REF!</v>
      </c>
      <c r="GG101" s="12" t="e">
        <f>IF(#REF!=FALSE,FALSE,AN101)</f>
        <v>#REF!</v>
      </c>
      <c r="GH101" s="56" t="e">
        <f>#REF!</f>
        <v>#REF!</v>
      </c>
      <c r="GI101" s="12">
        <f t="shared" si="101"/>
        <v>89.285857653245543</v>
      </c>
      <c r="GJ101" s="12">
        <f t="shared" si="102"/>
        <v>74.733000000000004</v>
      </c>
      <c r="GK101" s="56">
        <f t="shared" si="325"/>
        <v>92.890003396802086</v>
      </c>
      <c r="GL101" s="12" t="str">
        <f t="shared" si="326"/>
        <v>PND</v>
      </c>
    </row>
    <row r="102" spans="1:209">
      <c r="A102" t="s">
        <v>13</v>
      </c>
      <c r="B102" s="21" t="s">
        <v>12</v>
      </c>
      <c r="C102" s="21" t="s">
        <v>11</v>
      </c>
      <c r="D102" t="s">
        <v>18</v>
      </c>
      <c r="E102" t="s">
        <v>10</v>
      </c>
      <c r="F102" t="s">
        <v>9</v>
      </c>
      <c r="G102">
        <v>50</v>
      </c>
      <c r="H102">
        <v>5</v>
      </c>
      <c r="I102">
        <v>2.5</v>
      </c>
      <c r="J102" s="21">
        <f t="shared" si="270"/>
        <v>12.5</v>
      </c>
      <c r="K102" t="s">
        <v>8</v>
      </c>
      <c r="L102" t="s">
        <v>7</v>
      </c>
      <c r="U102" t="s">
        <v>6</v>
      </c>
      <c r="V102" s="53">
        <f t="shared" si="331"/>
        <v>4</v>
      </c>
      <c r="W102" t="s">
        <v>5</v>
      </c>
      <c r="X102">
        <v>10</v>
      </c>
      <c r="Y102" s="52" t="s">
        <v>4</v>
      </c>
      <c r="Z102" s="52" t="s">
        <v>3</v>
      </c>
      <c r="AA102" s="52"/>
      <c r="AB102" s="52">
        <v>34511</v>
      </c>
      <c r="AC102" s="52">
        <v>34511</v>
      </c>
      <c r="AD102" s="21">
        <f t="shared" si="332"/>
        <v>27</v>
      </c>
      <c r="AE102" s="21">
        <v>27</v>
      </c>
      <c r="AF102" s="21"/>
      <c r="AG102" s="52"/>
      <c r="AH102" s="52"/>
      <c r="AI102" t="b">
        <v>0</v>
      </c>
      <c r="AJ102" s="50">
        <f t="shared" si="333"/>
        <v>1.04</v>
      </c>
      <c r="AK102" s="16">
        <f t="shared" si="334"/>
        <v>4.16</v>
      </c>
      <c r="AL102">
        <v>52</v>
      </c>
      <c r="AM102" s="7">
        <f t="shared" si="335"/>
        <v>31.16</v>
      </c>
      <c r="AN102" s="21">
        <f t="shared" si="355"/>
        <v>389.5</v>
      </c>
      <c r="AQ102" s="52"/>
      <c r="AS102" s="45">
        <f t="shared" si="336"/>
        <v>420</v>
      </c>
      <c r="AT102">
        <v>2100</v>
      </c>
      <c r="AU102">
        <v>40400</v>
      </c>
      <c r="AV102">
        <f t="shared" si="337"/>
        <v>2.1</v>
      </c>
      <c r="AW102" s="55"/>
      <c r="AX102">
        <v>2.52</v>
      </c>
      <c r="AY102" s="21">
        <f t="shared" si="277"/>
        <v>0.3364313222079589</v>
      </c>
      <c r="BA102" s="51">
        <v>1470</v>
      </c>
      <c r="BB102" s="8">
        <f t="shared" si="338"/>
        <v>1470</v>
      </c>
      <c r="BC102" s="24">
        <f t="shared" si="339"/>
        <v>3.2180400000000002</v>
      </c>
      <c r="BD102" s="7">
        <f t="shared" si="340"/>
        <v>0.13104000000000002</v>
      </c>
      <c r="BE102" s="7"/>
      <c r="BF102" s="43">
        <f t="shared" si="341"/>
        <v>0.13104000000000002</v>
      </c>
      <c r="BG102">
        <f t="shared" si="342"/>
        <v>3.0870000000000002</v>
      </c>
      <c r="BH102" s="50">
        <f t="shared" si="343"/>
        <v>2.6</v>
      </c>
      <c r="BI102" s="21">
        <f t="shared" si="356"/>
        <v>10.4</v>
      </c>
      <c r="BJ102">
        <v>130</v>
      </c>
      <c r="BL102">
        <v>20000</v>
      </c>
      <c r="BQ102">
        <v>2594</v>
      </c>
      <c r="BR102">
        <f t="shared" si="344"/>
        <v>2.5939999999999999</v>
      </c>
      <c r="BS102" s="54"/>
      <c r="BT102">
        <v>3.22</v>
      </c>
      <c r="BV102">
        <v>1910</v>
      </c>
      <c r="BW102" s="24">
        <f t="shared" si="345"/>
        <v>5.3731399999999994</v>
      </c>
      <c r="BX102">
        <f t="shared" si="346"/>
        <v>0.41860000000000003</v>
      </c>
      <c r="BZ102" s="21">
        <f t="shared" si="347"/>
        <v>0.41860000000000003</v>
      </c>
      <c r="CA102">
        <f t="shared" si="348"/>
        <v>4.9545399999999997</v>
      </c>
      <c r="CB102" s="40">
        <f t="shared" si="285"/>
        <v>-219.44444444444446</v>
      </c>
      <c r="CC102" s="39" t="b">
        <f t="shared" si="286"/>
        <v>0</v>
      </c>
      <c r="CD102" s="39" t="b">
        <f t="shared" si="287"/>
        <v>0</v>
      </c>
      <c r="CE102" s="38">
        <f t="shared" si="357"/>
        <v>-60.496922578555214</v>
      </c>
      <c r="CF102" s="35" t="b">
        <f t="shared" si="288"/>
        <v>0</v>
      </c>
      <c r="CG102" s="35" t="b">
        <f t="shared" si="289"/>
        <v>0</v>
      </c>
      <c r="CH102" s="17">
        <f t="shared" si="290"/>
        <v>66.623876765083452</v>
      </c>
      <c r="CI102" s="16">
        <f t="shared" si="358"/>
        <v>-23.523809523809511</v>
      </c>
      <c r="CJ102" s="35" t="b">
        <f t="shared" si="291"/>
        <v>0</v>
      </c>
      <c r="CK102" s="35" t="b">
        <f t="shared" si="292"/>
        <v>0</v>
      </c>
      <c r="CL102" s="37">
        <f t="shared" si="293"/>
        <v>-150</v>
      </c>
      <c r="CM102" s="36">
        <f t="shared" si="349"/>
        <v>-66.969335371841211</v>
      </c>
      <c r="CN102" s="35" t="b">
        <f t="shared" si="294"/>
        <v>0</v>
      </c>
      <c r="CO102" s="35" t="b">
        <f t="shared" si="295"/>
        <v>0</v>
      </c>
      <c r="CP102">
        <f t="shared" si="329"/>
        <v>1994</v>
      </c>
      <c r="CQ102" s="52">
        <v>34471</v>
      </c>
      <c r="CR102">
        <f t="shared" si="350"/>
        <v>40</v>
      </c>
      <c r="CS102" t="str">
        <f t="shared" si="297"/>
        <v>Pendimethalin</v>
      </c>
      <c r="CT102">
        <f t="shared" si="298"/>
        <v>5</v>
      </c>
      <c r="CU102" s="7"/>
      <c r="CV102" s="7"/>
      <c r="CW102" s="21">
        <v>0.8</v>
      </c>
      <c r="CX102" s="21">
        <v>13792</v>
      </c>
      <c r="CY102" s="7" t="s">
        <v>2</v>
      </c>
      <c r="CZ102" s="33">
        <v>24</v>
      </c>
      <c r="DA102" s="1">
        <f t="shared" si="299"/>
        <v>389.5</v>
      </c>
      <c r="DB102" s="3">
        <v>386.36363636363598</v>
      </c>
      <c r="DC102" s="3" t="s">
        <v>1</v>
      </c>
      <c r="DD102" s="32">
        <f t="shared" si="300"/>
        <v>110.336</v>
      </c>
      <c r="DE102" s="32">
        <f t="shared" si="301"/>
        <v>1.6810124571870511</v>
      </c>
      <c r="DF102">
        <f t="shared" si="330"/>
        <v>0.62700658203982707</v>
      </c>
      <c r="DG102">
        <f t="shared" si="359"/>
        <v>0.12971109800898012</v>
      </c>
      <c r="DH102" s="2">
        <f t="shared" si="351"/>
        <v>0.11481793729174203</v>
      </c>
      <c r="DI102" s="7">
        <f t="shared" si="302"/>
        <v>24.787921796937709</v>
      </c>
      <c r="DJ102" s="31">
        <f t="shared" si="352"/>
        <v>2.4203547614058261</v>
      </c>
      <c r="DK102" s="31">
        <f t="shared" si="303"/>
        <v>0.27790014121886353</v>
      </c>
      <c r="DL102" s="31">
        <f t="shared" si="304"/>
        <v>2.1424546201869625</v>
      </c>
      <c r="DM102" s="30">
        <f t="shared" si="353"/>
        <v>-112.07275734040255</v>
      </c>
      <c r="DN102" s="30">
        <f t="shared" si="354"/>
        <v>30.597517972563576</v>
      </c>
      <c r="DO102" s="7">
        <v>24.79</v>
      </c>
      <c r="DP102" s="7">
        <f t="shared" si="305"/>
        <v>35.976893453145067</v>
      </c>
      <c r="DQ102" s="7">
        <f t="shared" si="306"/>
        <v>-12.232380952380947</v>
      </c>
      <c r="DR102" s="7">
        <f t="shared" si="57"/>
        <v>-2.3865907038264118</v>
      </c>
      <c r="DS102" s="6">
        <f t="shared" si="307"/>
        <v>-21.36</v>
      </c>
      <c r="DT102" s="5">
        <f t="shared" si="105"/>
        <v>1277.0000000000002</v>
      </c>
      <c r="DU102" s="5">
        <f t="shared" si="106"/>
        <v>863.36363636363558</v>
      </c>
      <c r="DV102" s="5">
        <f t="shared" si="107"/>
        <v>283.7056</v>
      </c>
      <c r="DW102" s="5">
        <f t="shared" si="108"/>
        <v>-19.852956205859289</v>
      </c>
      <c r="DX102" s="5">
        <f t="shared" si="109"/>
        <v>-18.094255290130793</v>
      </c>
      <c r="DY102" s="5">
        <f t="shared" si="110"/>
        <v>-7.0007670212207938</v>
      </c>
      <c r="DZ102" s="5">
        <f t="shared" si="111"/>
        <v>0</v>
      </c>
      <c r="EA102" s="5">
        <f t="shared" si="112"/>
        <v>1.7587009157284932</v>
      </c>
      <c r="EB102" s="5">
        <f t="shared" si="113"/>
        <v>12.852189184638492</v>
      </c>
      <c r="EC102" s="16">
        <f t="shared" si="59"/>
        <v>-19.852956205859286</v>
      </c>
      <c r="ED102" s="3">
        <f t="shared" si="114"/>
        <v>-0.63887607188703421</v>
      </c>
      <c r="EE102" s="16">
        <f t="shared" si="60"/>
        <v>3.8569160718870346</v>
      </c>
      <c r="EF102" s="16">
        <f t="shared" si="308"/>
        <v>-0.49399999999999977</v>
      </c>
      <c r="EG102" s="16">
        <f t="shared" si="309"/>
        <v>259.5</v>
      </c>
      <c r="EH102" s="16">
        <f t="shared" si="310"/>
        <v>3.3643132220795893E-4</v>
      </c>
      <c r="EI102" s="20">
        <f t="shared" si="311"/>
        <v>0.30514195517515885</v>
      </c>
      <c r="EJ102" s="26">
        <f t="shared" si="115"/>
        <v>3.5517741167118757</v>
      </c>
      <c r="EK102" s="29">
        <f t="shared" si="312"/>
        <v>-132.86168740473047</v>
      </c>
      <c r="EL102" s="28">
        <f t="shared" si="313"/>
        <v>-15.055850881499044</v>
      </c>
      <c r="EM102" s="25">
        <f t="shared" si="314"/>
        <v>100.79484457702831</v>
      </c>
      <c r="EN102" s="25">
        <f t="shared" si="315"/>
        <v>2</v>
      </c>
      <c r="EO102" s="25">
        <f t="shared" si="316"/>
        <v>0.2051554229716803</v>
      </c>
      <c r="EP102" s="25">
        <f t="shared" si="70"/>
        <v>0.45294086034677894</v>
      </c>
      <c r="EQ102" s="26">
        <f t="shared" si="71"/>
        <v>-2.5578416426602139E-2</v>
      </c>
      <c r="ER102" s="26">
        <f t="shared" si="317"/>
        <v>-2.9368610132916653E-3</v>
      </c>
      <c r="ES102" s="26">
        <f t="shared" si="73"/>
        <v>-2.2641555413310473E-2</v>
      </c>
      <c r="ET102" s="25">
        <f t="shared" si="318"/>
        <v>102.24119430196251</v>
      </c>
      <c r="EU102" s="25">
        <f t="shared" si="319"/>
        <v>100.73344850707193</v>
      </c>
      <c r="EV102" s="1"/>
      <c r="EW102" s="1"/>
      <c r="EX102" s="2"/>
      <c r="EY102" s="1"/>
      <c r="EZ102" s="22">
        <f t="shared" si="320"/>
        <v>34511</v>
      </c>
      <c r="FA102" s="3">
        <f t="shared" si="321"/>
        <v>1470</v>
      </c>
      <c r="FB102" s="3">
        <f t="shared" si="322"/>
        <v>1910</v>
      </c>
      <c r="FC102" s="3" t="b">
        <v>1</v>
      </c>
      <c r="FD102" s="3" t="b">
        <v>1</v>
      </c>
      <c r="FE102" s="20">
        <f t="shared" si="79"/>
        <v>4.2448979591836737E-2</v>
      </c>
      <c r="FF102" s="20">
        <f t="shared" si="80"/>
        <v>583.33333333333337</v>
      </c>
      <c r="FG102" s="20">
        <f t="shared" si="81"/>
        <v>8.4488166408990553E-2</v>
      </c>
      <c r="FH102" s="20">
        <f t="shared" si="82"/>
        <v>593.16770186335395</v>
      </c>
      <c r="FI102" s="19" t="s">
        <v>29</v>
      </c>
      <c r="FJ102" s="18" t="s">
        <v>0</v>
      </c>
      <c r="FK102" s="16" t="b">
        <f t="shared" si="323"/>
        <v>0</v>
      </c>
      <c r="FL102" s="17"/>
      <c r="FM102" s="1"/>
      <c r="FN102" s="1"/>
      <c r="FO102" s="1"/>
      <c r="FP102" s="1"/>
      <c r="FQ102" s="1"/>
      <c r="FR102" s="16" t="b">
        <f t="shared" si="360"/>
        <v>0</v>
      </c>
      <c r="FS102" s="17" t="b">
        <f t="shared" si="89"/>
        <v>0</v>
      </c>
      <c r="FT102" s="1" t="b">
        <f t="shared" si="90"/>
        <v>0</v>
      </c>
      <c r="FU102" s="1" t="b">
        <f t="shared" si="91"/>
        <v>0</v>
      </c>
      <c r="FV102" s="1" t="b">
        <f t="shared" si="92"/>
        <v>0</v>
      </c>
      <c r="FW102" s="16" t="b">
        <f t="shared" si="361"/>
        <v>0</v>
      </c>
      <c r="FX102" s="15" t="b">
        <f t="shared" si="94"/>
        <v>0</v>
      </c>
      <c r="FY102" s="15" t="b">
        <f t="shared" si="95"/>
        <v>0</v>
      </c>
      <c r="FZ102" s="15" t="b">
        <f t="shared" si="96"/>
        <v>0</v>
      </c>
      <c r="GA102" s="15" t="b">
        <f t="shared" si="97"/>
        <v>0</v>
      </c>
      <c r="GE102" s="14">
        <f t="shared" si="324"/>
        <v>0</v>
      </c>
      <c r="GF102" t="e">
        <f>IF(#REF!=FALSE,FALSE,CH102)</f>
        <v>#REF!</v>
      </c>
      <c r="GG102" t="e">
        <f>IF(#REF!=FALSE,FALSE,AN102)</f>
        <v>#REF!</v>
      </c>
      <c r="GH102" s="13" t="e">
        <f>#REF!</f>
        <v>#REF!</v>
      </c>
      <c r="GI102" t="b">
        <f t="shared" si="101"/>
        <v>0</v>
      </c>
      <c r="GJ102" t="b">
        <f t="shared" si="102"/>
        <v>0</v>
      </c>
      <c r="GK102" s="13" t="b">
        <f t="shared" si="325"/>
        <v>0</v>
      </c>
      <c r="GL102" t="str">
        <f t="shared" si="326"/>
        <v>PND</v>
      </c>
      <c r="GQ102" s="1"/>
      <c r="GR102" s="1"/>
      <c r="GS102" s="1"/>
      <c r="GT102" s="1"/>
      <c r="GU102" s="1"/>
      <c r="GV102" s="1"/>
      <c r="HA102" s="1"/>
    </row>
    <row r="103" spans="1:209">
      <c r="A103" t="s">
        <v>13</v>
      </c>
      <c r="B103" s="21" t="s">
        <v>12</v>
      </c>
      <c r="C103" s="21" t="s">
        <v>11</v>
      </c>
      <c r="D103" t="s">
        <v>16</v>
      </c>
      <c r="E103" t="s">
        <v>10</v>
      </c>
      <c r="F103" t="s">
        <v>9</v>
      </c>
      <c r="G103">
        <v>50</v>
      </c>
      <c r="H103">
        <v>10</v>
      </c>
      <c r="I103">
        <v>2.5</v>
      </c>
      <c r="J103" s="21">
        <f t="shared" si="270"/>
        <v>25</v>
      </c>
      <c r="K103" t="s">
        <v>8</v>
      </c>
      <c r="L103" t="s">
        <v>7</v>
      </c>
      <c r="U103" t="s">
        <v>6</v>
      </c>
      <c r="V103" s="53">
        <f t="shared" si="331"/>
        <v>2</v>
      </c>
      <c r="W103" t="s">
        <v>5</v>
      </c>
      <c r="X103">
        <v>10</v>
      </c>
      <c r="Y103" s="52" t="s">
        <v>4</v>
      </c>
      <c r="Z103" s="52" t="s">
        <v>3</v>
      </c>
      <c r="AA103" s="52"/>
      <c r="AB103" s="52">
        <v>34511</v>
      </c>
      <c r="AC103" s="52">
        <v>34511</v>
      </c>
      <c r="AD103" s="21">
        <f t="shared" si="332"/>
        <v>27</v>
      </c>
      <c r="AE103" s="21">
        <v>27</v>
      </c>
      <c r="AF103" s="21"/>
      <c r="AG103" s="52"/>
      <c r="AH103" s="52"/>
      <c r="AI103" t="b">
        <v>0</v>
      </c>
      <c r="AJ103" s="50">
        <f t="shared" si="333"/>
        <v>1.04</v>
      </c>
      <c r="AK103" s="16">
        <f t="shared" si="334"/>
        <v>2.08</v>
      </c>
      <c r="AL103">
        <v>52</v>
      </c>
      <c r="AM103" s="7">
        <f t="shared" si="335"/>
        <v>29.08</v>
      </c>
      <c r="AN103" s="21">
        <f t="shared" si="355"/>
        <v>727</v>
      </c>
      <c r="AQ103" s="52"/>
      <c r="AS103" s="45">
        <f t="shared" si="336"/>
        <v>420</v>
      </c>
      <c r="AT103">
        <v>2100</v>
      </c>
      <c r="AU103">
        <v>40400</v>
      </c>
      <c r="AV103">
        <f t="shared" si="337"/>
        <v>2.1</v>
      </c>
      <c r="AW103" s="55"/>
      <c r="AX103">
        <v>2.52</v>
      </c>
      <c r="AY103" s="21">
        <f t="shared" si="277"/>
        <v>0.18024759284731773</v>
      </c>
      <c r="BA103" s="51">
        <v>1470</v>
      </c>
      <c r="BB103" s="8">
        <f t="shared" si="338"/>
        <v>1470</v>
      </c>
      <c r="BC103" s="24">
        <f t="shared" si="339"/>
        <v>3.2180400000000002</v>
      </c>
      <c r="BD103" s="7">
        <f t="shared" si="340"/>
        <v>0.13104000000000002</v>
      </c>
      <c r="BE103" s="7"/>
      <c r="BF103" s="43">
        <f t="shared" si="341"/>
        <v>0.13104000000000002</v>
      </c>
      <c r="BG103">
        <f t="shared" si="342"/>
        <v>3.0870000000000002</v>
      </c>
      <c r="BH103" s="50">
        <f t="shared" si="343"/>
        <v>4.2999999999999997E-2</v>
      </c>
      <c r="BI103" s="21">
        <f t="shared" si="356"/>
        <v>8.5999999999999993E-2</v>
      </c>
      <c r="BJ103">
        <v>2.15</v>
      </c>
      <c r="BL103">
        <v>1730</v>
      </c>
      <c r="BQ103">
        <v>3.72</v>
      </c>
      <c r="BR103">
        <f t="shared" si="344"/>
        <v>3.7200000000000002E-3</v>
      </c>
      <c r="BS103" s="54"/>
      <c r="BT103">
        <v>0.2</v>
      </c>
      <c r="BV103">
        <v>370</v>
      </c>
      <c r="BW103" s="24">
        <f t="shared" si="345"/>
        <v>1.8064000000000001E-3</v>
      </c>
      <c r="BX103">
        <f t="shared" si="346"/>
        <v>4.2999999999999999E-4</v>
      </c>
      <c r="BZ103" s="21">
        <f t="shared" si="347"/>
        <v>4.2999999999999999E-4</v>
      </c>
      <c r="CA103">
        <f t="shared" si="348"/>
        <v>1.3764000000000001E-3</v>
      </c>
      <c r="CB103" s="40">
        <f t="shared" si="285"/>
        <v>99.671855921855908</v>
      </c>
      <c r="CC103" s="39" t="b">
        <f t="shared" si="286"/>
        <v>1</v>
      </c>
      <c r="CD103" s="39" t="b">
        <f t="shared" si="287"/>
        <v>1</v>
      </c>
      <c r="CE103" s="38">
        <f t="shared" si="357"/>
        <v>99.955413022351806</v>
      </c>
      <c r="CF103" s="35" t="b">
        <f t="shared" si="288"/>
        <v>1</v>
      </c>
      <c r="CG103" s="35" t="b">
        <f t="shared" si="289"/>
        <v>1</v>
      </c>
      <c r="CH103" s="17">
        <f t="shared" si="290"/>
        <v>99.704264099037147</v>
      </c>
      <c r="CI103" s="16">
        <f t="shared" si="358"/>
        <v>99.822857142857146</v>
      </c>
      <c r="CJ103" s="35" t="b">
        <f t="shared" si="291"/>
        <v>1</v>
      </c>
      <c r="CK103" s="35" t="b">
        <f t="shared" si="292"/>
        <v>1</v>
      </c>
      <c r="CL103" s="37">
        <f t="shared" si="293"/>
        <v>95.865384615384613</v>
      </c>
      <c r="CM103" s="36">
        <f t="shared" si="349"/>
        <v>99.94386645287193</v>
      </c>
      <c r="CN103" s="35" t="b">
        <f t="shared" si="294"/>
        <v>1</v>
      </c>
      <c r="CO103" s="35" t="b">
        <f t="shared" si="295"/>
        <v>1</v>
      </c>
      <c r="CP103">
        <f t="shared" si="329"/>
        <v>1994</v>
      </c>
      <c r="CQ103" s="52">
        <v>34471</v>
      </c>
      <c r="CR103">
        <f t="shared" si="350"/>
        <v>40</v>
      </c>
      <c r="CS103" t="str">
        <f t="shared" si="297"/>
        <v>Pendimethalin</v>
      </c>
      <c r="CT103">
        <f t="shared" si="298"/>
        <v>10</v>
      </c>
      <c r="CU103" s="7"/>
      <c r="CV103" s="7"/>
      <c r="CW103" s="21">
        <v>0.8</v>
      </c>
      <c r="CX103" s="21">
        <v>13792</v>
      </c>
      <c r="CY103" s="7" t="s">
        <v>2</v>
      </c>
      <c r="CZ103" s="33">
        <v>24</v>
      </c>
      <c r="DA103" s="1">
        <f t="shared" si="299"/>
        <v>727</v>
      </c>
      <c r="DB103" s="3">
        <v>386.36363636363598</v>
      </c>
      <c r="DC103" s="3" t="s">
        <v>1</v>
      </c>
      <c r="DD103" s="32">
        <f t="shared" si="300"/>
        <v>110.336</v>
      </c>
      <c r="DE103" s="32">
        <f t="shared" si="301"/>
        <v>3.1376021986520826</v>
      </c>
      <c r="DF103">
        <f t="shared" si="330"/>
        <v>0.75831412688107802</v>
      </c>
      <c r="DG103">
        <f t="shared" si="359"/>
        <v>1.4958886780518672</v>
      </c>
      <c r="DH103" s="2">
        <f t="shared" si="351"/>
        <v>0.59934110491637127</v>
      </c>
      <c r="DI103" s="7">
        <f t="shared" si="302"/>
        <v>105.74150654059737</v>
      </c>
      <c r="DJ103" s="31">
        <f t="shared" si="352"/>
        <v>-0.18476397707903974</v>
      </c>
      <c r="DK103" s="31">
        <f t="shared" si="303"/>
        <v>-0.11073664617129478</v>
      </c>
      <c r="DL103" s="31">
        <f t="shared" si="304"/>
        <v>-7.4027330907744965E-2</v>
      </c>
      <c r="DM103" s="30">
        <f t="shared" si="353"/>
        <v>184.50598761545695</v>
      </c>
      <c r="DN103" s="30">
        <f t="shared" si="354"/>
        <v>102.39803469088903</v>
      </c>
      <c r="DO103" s="7">
        <v>24.79</v>
      </c>
      <c r="DP103" s="7">
        <f t="shared" si="305"/>
        <v>53.840302613480063</v>
      </c>
      <c r="DQ103" s="7">
        <f t="shared" si="306"/>
        <v>51.907885714285719</v>
      </c>
      <c r="DR103" s="7">
        <f t="shared" si="57"/>
        <v>-3.4366817871684319</v>
      </c>
      <c r="DS103" s="6">
        <f t="shared" si="307"/>
        <v>-21.36</v>
      </c>
      <c r="DT103" s="5">
        <f t="shared" si="105"/>
        <v>1277.0000000000002</v>
      </c>
      <c r="DU103" s="5">
        <f t="shared" si="106"/>
        <v>863.36363636363558</v>
      </c>
      <c r="DV103" s="5">
        <f t="shared" si="107"/>
        <v>283.7056</v>
      </c>
      <c r="DW103" s="5">
        <f t="shared" si="108"/>
        <v>99.818027982106429</v>
      </c>
      <c r="DX103" s="5">
        <f t="shared" si="109"/>
        <v>99.815714337648672</v>
      </c>
      <c r="DY103" s="5">
        <f t="shared" si="110"/>
        <v>99.801120390820387</v>
      </c>
      <c r="DZ103" s="5">
        <f t="shared" si="111"/>
        <v>0</v>
      </c>
      <c r="EA103" s="5">
        <f t="shared" si="112"/>
        <v>-2.313644457771602E-3</v>
      </c>
      <c r="EB103" s="5">
        <f t="shared" si="113"/>
        <v>-1.6907591286056345E-2</v>
      </c>
      <c r="EC103" s="16">
        <f t="shared" si="59"/>
        <v>99.818027982106443</v>
      </c>
      <c r="ED103" s="3">
        <f t="shared" si="114"/>
        <v>3.2121840676753788</v>
      </c>
      <c r="EE103" s="16">
        <f t="shared" si="60"/>
        <v>5.855932324621449E-3</v>
      </c>
      <c r="EF103" s="16">
        <f t="shared" si="308"/>
        <v>2.0962800000000001</v>
      </c>
      <c r="EG103" s="16">
        <f t="shared" si="309"/>
        <v>724.85</v>
      </c>
      <c r="EH103" s="16">
        <f t="shared" si="310"/>
        <v>1.8024759284731773E-4</v>
      </c>
      <c r="EI103" s="20">
        <f t="shared" si="311"/>
        <v>2.9144107634111373E-3</v>
      </c>
      <c r="EJ103" s="26">
        <f t="shared" si="115"/>
        <v>2.9415215612103116E-3</v>
      </c>
      <c r="EK103" s="29">
        <f t="shared" si="312"/>
        <v>97.77593806210993</v>
      </c>
      <c r="EL103" s="28">
        <f t="shared" si="313"/>
        <v>99.904712615445078</v>
      </c>
      <c r="EM103" s="25">
        <f t="shared" si="314"/>
        <v>100.12782770191608</v>
      </c>
      <c r="EN103" s="25">
        <f t="shared" si="315"/>
        <v>2</v>
      </c>
      <c r="EO103" s="25">
        <f t="shared" si="316"/>
        <v>0.87217229808391927</v>
      </c>
      <c r="EP103" s="25">
        <f t="shared" si="70"/>
        <v>0.93390165332540198</v>
      </c>
      <c r="EQ103" s="26">
        <f t="shared" si="71"/>
        <v>-4.11354657874033E-3</v>
      </c>
      <c r="ER103" s="26">
        <f t="shared" si="317"/>
        <v>-2.4654175516271885E-3</v>
      </c>
      <c r="ES103" s="26">
        <f t="shared" si="73"/>
        <v>-1.6481290271131417E-3</v>
      </c>
      <c r="ET103" s="25">
        <f t="shared" si="318"/>
        <v>101.88142365050913</v>
      </c>
      <c r="EU103" s="25">
        <f t="shared" si="319"/>
        <v>100.05338934328194</v>
      </c>
      <c r="EV103" s="1"/>
      <c r="EW103" s="1"/>
      <c r="EX103" s="2"/>
      <c r="EY103" s="1"/>
      <c r="EZ103" s="22">
        <f t="shared" si="320"/>
        <v>34511</v>
      </c>
      <c r="FA103" s="3">
        <f t="shared" si="321"/>
        <v>1470</v>
      </c>
      <c r="FB103" s="3">
        <f t="shared" si="322"/>
        <v>370</v>
      </c>
      <c r="FC103" s="3" t="b">
        <v>1</v>
      </c>
      <c r="FD103" s="3" t="b">
        <v>1</v>
      </c>
      <c r="FE103" s="20">
        <f t="shared" si="79"/>
        <v>4.2448979591836737E-2</v>
      </c>
      <c r="FF103" s="20">
        <f t="shared" si="80"/>
        <v>583.33333333333337</v>
      </c>
      <c r="FG103" s="20">
        <f t="shared" si="81"/>
        <v>0.3124091833769253</v>
      </c>
      <c r="FH103" s="20">
        <f t="shared" si="82"/>
        <v>1850</v>
      </c>
      <c r="FI103" s="19" t="s">
        <v>28</v>
      </c>
      <c r="FJ103" s="18" t="s">
        <v>0</v>
      </c>
      <c r="FK103" s="16">
        <f t="shared" si="323"/>
        <v>99.94386645287193</v>
      </c>
      <c r="FL103" s="17">
        <f t="shared" si="84"/>
        <v>99.94386645287193</v>
      </c>
      <c r="FM103" s="1">
        <f t="shared" si="85"/>
        <v>105.74150654059737</v>
      </c>
      <c r="FN103" s="1">
        <f t="shared" si="86"/>
        <v>99.818027982106443</v>
      </c>
      <c r="FO103" s="1">
        <f t="shared" si="327"/>
        <v>99.818027982106429</v>
      </c>
      <c r="FP103" s="1">
        <f t="shared" si="328"/>
        <v>99.801120390820387</v>
      </c>
      <c r="FQ103" s="1">
        <f t="shared" si="87"/>
        <v>100.12782770191608</v>
      </c>
      <c r="FR103" s="16">
        <f t="shared" si="360"/>
        <v>99.671855921855908</v>
      </c>
      <c r="FS103" s="17">
        <f t="shared" si="89"/>
        <v>99.671855921855908</v>
      </c>
      <c r="FT103" s="1">
        <f t="shared" si="90"/>
        <v>184.50598761545695</v>
      </c>
      <c r="FU103" s="1">
        <f t="shared" si="91"/>
        <v>97.77593806210993</v>
      </c>
      <c r="FV103" s="1">
        <f t="shared" si="92"/>
        <v>101.88142365050913</v>
      </c>
      <c r="FW103" s="16">
        <f t="shared" si="361"/>
        <v>99.955413022351806</v>
      </c>
      <c r="FX103" s="15">
        <f t="shared" si="94"/>
        <v>99.955413022351806</v>
      </c>
      <c r="FY103" s="15">
        <f t="shared" si="95"/>
        <v>102.39803469088903</v>
      </c>
      <c r="FZ103" s="15">
        <f t="shared" si="96"/>
        <v>99.904712615445078</v>
      </c>
      <c r="GA103" s="15">
        <f t="shared" si="97"/>
        <v>100.05338934328194</v>
      </c>
      <c r="GC103">
        <f t="shared" si="98"/>
        <v>99.704264099037147</v>
      </c>
      <c r="GD103">
        <f t="shared" si="99"/>
        <v>99.822857142857146</v>
      </c>
      <c r="GE103" s="14">
        <f t="shared" si="324"/>
        <v>99.94386645287193</v>
      </c>
      <c r="GF103" t="e">
        <f>IF(#REF!=FALSE,FALSE,CH103)</f>
        <v>#REF!</v>
      </c>
      <c r="GG103" t="e">
        <f>IF(#REF!=FALSE,FALSE,AN103)</f>
        <v>#REF!</v>
      </c>
      <c r="GH103" s="13" t="e">
        <f>#REF!</f>
        <v>#REF!</v>
      </c>
      <c r="GI103">
        <f t="shared" si="101"/>
        <v>99.822857142857146</v>
      </c>
      <c r="GJ103">
        <f t="shared" si="102"/>
        <v>2.1</v>
      </c>
      <c r="GK103" s="13">
        <f t="shared" si="325"/>
        <v>99.955413022351806</v>
      </c>
      <c r="GL103" t="str">
        <f t="shared" si="326"/>
        <v>PND</v>
      </c>
      <c r="GQ103" s="1"/>
      <c r="GR103" s="1"/>
      <c r="GS103" s="1"/>
      <c r="GT103" s="1"/>
      <c r="GU103" s="1"/>
      <c r="GV103" s="1"/>
      <c r="HA103" s="1"/>
    </row>
    <row r="104" spans="1:209">
      <c r="A104" t="s">
        <v>13</v>
      </c>
      <c r="B104" s="21" t="s">
        <v>12</v>
      </c>
      <c r="C104" s="21" t="s">
        <v>11</v>
      </c>
      <c r="D104" t="s">
        <v>18</v>
      </c>
      <c r="E104" t="s">
        <v>10</v>
      </c>
      <c r="F104" t="s">
        <v>9</v>
      </c>
      <c r="G104">
        <v>50</v>
      </c>
      <c r="H104">
        <v>5</v>
      </c>
      <c r="I104">
        <v>2.5</v>
      </c>
      <c r="J104" s="21">
        <f t="shared" si="270"/>
        <v>12.5</v>
      </c>
      <c r="K104" t="s">
        <v>8</v>
      </c>
      <c r="L104" t="s">
        <v>7</v>
      </c>
      <c r="U104" t="s">
        <v>6</v>
      </c>
      <c r="V104" s="53">
        <f t="shared" si="331"/>
        <v>4</v>
      </c>
      <c r="W104" t="s">
        <v>5</v>
      </c>
      <c r="X104">
        <v>10</v>
      </c>
      <c r="Y104" s="52" t="s">
        <v>4</v>
      </c>
      <c r="Z104" s="52" t="s">
        <v>3</v>
      </c>
      <c r="AA104" s="52"/>
      <c r="AB104" s="52">
        <v>34513</v>
      </c>
      <c r="AC104" s="52">
        <v>34513</v>
      </c>
      <c r="AD104" s="21">
        <f t="shared" si="332"/>
        <v>9</v>
      </c>
      <c r="AE104" s="21">
        <v>9</v>
      </c>
      <c r="AF104" s="21"/>
      <c r="AG104" s="52"/>
      <c r="AH104" s="52"/>
      <c r="AI104" t="b">
        <v>0</v>
      </c>
      <c r="AJ104" s="50">
        <f t="shared" si="333"/>
        <v>3.38</v>
      </c>
      <c r="AK104" s="16">
        <f t="shared" si="334"/>
        <v>13.52</v>
      </c>
      <c r="AL104">
        <v>169</v>
      </c>
      <c r="AM104" s="7">
        <f t="shared" si="335"/>
        <v>22.52</v>
      </c>
      <c r="AN104" s="21">
        <f t="shared" si="355"/>
        <v>281.5</v>
      </c>
      <c r="AQ104" s="52"/>
      <c r="AS104" s="45">
        <f t="shared" si="336"/>
        <v>3373.5999999999995</v>
      </c>
      <c r="AT104">
        <v>16868</v>
      </c>
      <c r="AU104">
        <v>100000</v>
      </c>
      <c r="AV104">
        <f t="shared" si="337"/>
        <v>16.867999999999999</v>
      </c>
      <c r="AW104" s="55"/>
      <c r="AX104">
        <v>0.77</v>
      </c>
      <c r="AY104" s="21">
        <f t="shared" si="277"/>
        <v>0.46227353463587922</v>
      </c>
      <c r="BA104" s="51">
        <v>1660</v>
      </c>
      <c r="BB104" s="8">
        <f t="shared" si="338"/>
        <v>1660</v>
      </c>
      <c r="BC104" s="24">
        <f t="shared" si="339"/>
        <v>28.131009999999996</v>
      </c>
      <c r="BD104" s="7">
        <f t="shared" si="340"/>
        <v>0.13013000000000002</v>
      </c>
      <c r="BE104" s="7"/>
      <c r="BF104" s="43">
        <f t="shared" si="341"/>
        <v>0.13013000000000002</v>
      </c>
      <c r="BG104">
        <f t="shared" si="342"/>
        <v>28.000879999999995</v>
      </c>
      <c r="BH104" s="50">
        <f t="shared" si="343"/>
        <v>2.9</v>
      </c>
      <c r="BI104" s="21">
        <f t="shared" si="356"/>
        <v>11.6</v>
      </c>
      <c r="BJ104">
        <v>145</v>
      </c>
      <c r="BL104">
        <v>80000</v>
      </c>
      <c r="BQ104">
        <v>11590</v>
      </c>
      <c r="BR104">
        <f t="shared" si="344"/>
        <v>11.59</v>
      </c>
      <c r="BS104" s="54"/>
      <c r="BT104">
        <v>1.43</v>
      </c>
      <c r="BV104">
        <v>1350</v>
      </c>
      <c r="BW104" s="24">
        <f t="shared" si="345"/>
        <v>15.853850000000001</v>
      </c>
      <c r="BX104">
        <f t="shared" si="346"/>
        <v>0.20734999999999998</v>
      </c>
      <c r="BZ104" s="21">
        <f t="shared" si="347"/>
        <v>0.20734999999999998</v>
      </c>
      <c r="CA104">
        <f t="shared" si="348"/>
        <v>15.646500000000001</v>
      </c>
      <c r="CB104" s="40">
        <f t="shared" si="285"/>
        <v>-59.340659340659293</v>
      </c>
      <c r="CC104" s="39" t="b">
        <f t="shared" si="286"/>
        <v>0</v>
      </c>
      <c r="CD104" s="39" t="b">
        <f t="shared" si="287"/>
        <v>0</v>
      </c>
      <c r="CE104" s="38">
        <f t="shared" si="357"/>
        <v>44.121399041744382</v>
      </c>
      <c r="CF104" s="35" t="b">
        <f t="shared" si="288"/>
        <v>1</v>
      </c>
      <c r="CG104" s="35" t="b">
        <f t="shared" si="289"/>
        <v>1</v>
      </c>
      <c r="CH104" s="17">
        <f t="shared" si="290"/>
        <v>48.490230905861459</v>
      </c>
      <c r="CI104" s="16">
        <f t="shared" si="358"/>
        <v>31.290016599478299</v>
      </c>
      <c r="CJ104" s="35" t="b">
        <f t="shared" si="291"/>
        <v>1</v>
      </c>
      <c r="CK104" s="35" t="b">
        <f t="shared" si="292"/>
        <v>1</v>
      </c>
      <c r="CL104" s="37">
        <f t="shared" si="293"/>
        <v>14.201183431952662</v>
      </c>
      <c r="CM104" s="36">
        <f t="shared" si="349"/>
        <v>43.642798463332802</v>
      </c>
      <c r="CN104" s="35" t="b">
        <f t="shared" si="294"/>
        <v>1</v>
      </c>
      <c r="CO104" s="35" t="b">
        <f t="shared" si="295"/>
        <v>1</v>
      </c>
      <c r="CP104">
        <f t="shared" si="329"/>
        <v>1994</v>
      </c>
      <c r="CQ104" s="52">
        <v>34471</v>
      </c>
      <c r="CR104">
        <f t="shared" si="350"/>
        <v>42</v>
      </c>
      <c r="CS104" t="str">
        <f t="shared" si="297"/>
        <v>Pendimethalin</v>
      </c>
      <c r="CT104">
        <f t="shared" si="298"/>
        <v>5</v>
      </c>
      <c r="CU104" s="7"/>
      <c r="CV104" s="7"/>
      <c r="CW104" s="21">
        <v>0.8</v>
      </c>
      <c r="CX104" s="21">
        <v>13792</v>
      </c>
      <c r="CY104" s="7" t="s">
        <v>2</v>
      </c>
      <c r="CZ104" s="33">
        <v>24</v>
      </c>
      <c r="DA104" s="1">
        <f t="shared" si="299"/>
        <v>281.5</v>
      </c>
      <c r="DB104" s="3">
        <v>386.36363636363598</v>
      </c>
      <c r="DC104" s="3" t="s">
        <v>1</v>
      </c>
      <c r="DD104" s="32">
        <f t="shared" si="300"/>
        <v>110.336</v>
      </c>
      <c r="DE104" s="32">
        <f t="shared" si="301"/>
        <v>0.15125076202444313</v>
      </c>
      <c r="DF104">
        <f t="shared" si="330"/>
        <v>0.13137951088820368</v>
      </c>
      <c r="DG104">
        <f t="shared" si="359"/>
        <v>3.2380855707252736E-2</v>
      </c>
      <c r="DH104" s="2">
        <f t="shared" si="351"/>
        <v>3.1365222948724285E-2</v>
      </c>
      <c r="DI104" s="7">
        <f t="shared" si="302"/>
        <v>45.544678812289604</v>
      </c>
      <c r="DJ104" s="31">
        <f t="shared" si="352"/>
        <v>15.318831848846928</v>
      </c>
      <c r="DK104" s="31">
        <f t="shared" si="303"/>
        <v>0.48047857625310009</v>
      </c>
      <c r="DL104" s="31">
        <f t="shared" si="304"/>
        <v>14.838353272593828</v>
      </c>
      <c r="DM104" s="30">
        <f t="shared" si="353"/>
        <v>-269.229675134942</v>
      </c>
      <c r="DN104" s="30">
        <f t="shared" si="354"/>
        <v>47.007546646413147</v>
      </c>
      <c r="DO104" s="7">
        <v>24.79</v>
      </c>
      <c r="DP104" s="7">
        <f t="shared" si="305"/>
        <v>26.18472468916519</v>
      </c>
      <c r="DQ104" s="7">
        <f t="shared" si="306"/>
        <v>16.270808631728716</v>
      </c>
      <c r="DR104" s="7">
        <f t="shared" si="57"/>
        <v>-0.3408545086042965</v>
      </c>
      <c r="DS104" s="6">
        <f t="shared" si="307"/>
        <v>-21.36</v>
      </c>
      <c r="DT104" s="5">
        <f t="shared" si="105"/>
        <v>36533.779220779215</v>
      </c>
      <c r="DU104" s="5">
        <f t="shared" si="106"/>
        <v>6686.1818181818107</v>
      </c>
      <c r="DV104" s="5">
        <f t="shared" si="107"/>
        <v>2030.1476479999999</v>
      </c>
      <c r="DW104" s="5">
        <f t="shared" si="108"/>
        <v>31.369582313176085</v>
      </c>
      <c r="DX104" s="5">
        <f t="shared" si="109"/>
        <v>31.724769392152016</v>
      </c>
      <c r="DY104" s="5">
        <f t="shared" si="110"/>
        <v>32.721851481361107</v>
      </c>
      <c r="DZ104" s="5">
        <f t="shared" si="111"/>
        <v>0</v>
      </c>
      <c r="EA104" s="5">
        <f t="shared" si="112"/>
        <v>0.35518707897593416</v>
      </c>
      <c r="EB104" s="5">
        <f t="shared" si="113"/>
        <v>1.3522691681850247</v>
      </c>
      <c r="EC104" s="16">
        <f t="shared" si="59"/>
        <v>31.369582313176082</v>
      </c>
      <c r="ED104" s="3">
        <f t="shared" si="114"/>
        <v>8.8245803374777942</v>
      </c>
      <c r="EE104" s="16">
        <f t="shared" si="60"/>
        <v>19.306429662522202</v>
      </c>
      <c r="EF104" s="16">
        <f t="shared" si="308"/>
        <v>5.2779999999999987</v>
      </c>
      <c r="EG104" s="16">
        <f t="shared" si="309"/>
        <v>136.5</v>
      </c>
      <c r="EH104" s="16">
        <f t="shared" si="310"/>
        <v>4.6227353463587921E-4</v>
      </c>
      <c r="EI104" s="20">
        <f t="shared" si="311"/>
        <v>0.11139255346974153</v>
      </c>
      <c r="EJ104" s="26">
        <f t="shared" si="115"/>
        <v>19.195037109052461</v>
      </c>
      <c r="EK104" s="29">
        <f t="shared" si="312"/>
        <v>14.399021386504643</v>
      </c>
      <c r="EL104" s="28">
        <f t="shared" si="313"/>
        <v>31.448450516367828</v>
      </c>
      <c r="EM104" s="25">
        <f t="shared" si="314"/>
        <v>94.051917493920783</v>
      </c>
      <c r="EN104" s="25">
        <f t="shared" si="315"/>
        <v>2</v>
      </c>
      <c r="EO104" s="25">
        <f t="shared" si="316"/>
        <v>6.9480825060792197</v>
      </c>
      <c r="EP104" s="25">
        <f t="shared" si="70"/>
        <v>2.6359215667540679</v>
      </c>
      <c r="EQ104" s="26">
        <f t="shared" si="71"/>
        <v>1.6732556845933964</v>
      </c>
      <c r="ER104" s="26">
        <f t="shared" si="317"/>
        <v>5.2482037597492148E-2</v>
      </c>
      <c r="ES104" s="26">
        <f t="shared" si="73"/>
        <v>1.6207736469959042</v>
      </c>
      <c r="ET104" s="25">
        <f t="shared" si="318"/>
        <v>59.669532315767206</v>
      </c>
      <c r="EU104" s="25">
        <f t="shared" si="319"/>
        <v>94.211704607155539</v>
      </c>
      <c r="EV104" s="1"/>
      <c r="EW104" s="1"/>
      <c r="EX104" s="2"/>
      <c r="EY104" s="1"/>
      <c r="EZ104" s="22">
        <f t="shared" si="320"/>
        <v>34513</v>
      </c>
      <c r="FA104" s="3">
        <f t="shared" si="321"/>
        <v>1660</v>
      </c>
      <c r="FB104" s="3">
        <f t="shared" si="322"/>
        <v>1350</v>
      </c>
      <c r="FC104" s="3" t="b">
        <v>1</v>
      </c>
      <c r="FD104" s="3" t="b">
        <v>1</v>
      </c>
      <c r="FE104" s="20">
        <f t="shared" si="79"/>
        <v>4.647353940304735E-3</v>
      </c>
      <c r="FF104" s="20">
        <f t="shared" si="80"/>
        <v>2155.8441558441559</v>
      </c>
      <c r="FG104" s="20">
        <f t="shared" si="81"/>
        <v>1.3252165020931196E-2</v>
      </c>
      <c r="FH104" s="20">
        <f t="shared" si="82"/>
        <v>944.05594405594411</v>
      </c>
      <c r="FI104" s="19" t="s">
        <v>27</v>
      </c>
      <c r="FJ104" s="18" t="s">
        <v>0</v>
      </c>
      <c r="FK104" s="16">
        <f t="shared" si="323"/>
        <v>43.642798463332802</v>
      </c>
      <c r="FL104" s="17">
        <f t="shared" si="84"/>
        <v>43.642798463332802</v>
      </c>
      <c r="FM104" s="1">
        <f t="shared" si="85"/>
        <v>45.544678812289604</v>
      </c>
      <c r="FN104" s="1">
        <f t="shared" si="86"/>
        <v>31.369582313176082</v>
      </c>
      <c r="FO104" s="1">
        <f t="shared" si="327"/>
        <v>31.369582313176085</v>
      </c>
      <c r="FP104" s="1">
        <f t="shared" si="328"/>
        <v>32.721851481361107</v>
      </c>
      <c r="FQ104" s="1">
        <f t="shared" si="87"/>
        <v>94.051917493920783</v>
      </c>
      <c r="FR104" s="16" t="b">
        <f t="shared" si="360"/>
        <v>0</v>
      </c>
      <c r="FS104" s="17" t="b">
        <f t="shared" si="89"/>
        <v>0</v>
      </c>
      <c r="FT104" s="1" t="b">
        <f t="shared" si="90"/>
        <v>0</v>
      </c>
      <c r="FU104" s="1" t="b">
        <f t="shared" si="91"/>
        <v>0</v>
      </c>
      <c r="FV104" s="1" t="b">
        <f t="shared" si="92"/>
        <v>0</v>
      </c>
      <c r="FW104" s="16">
        <f t="shared" si="361"/>
        <v>44.121399041744382</v>
      </c>
      <c r="FX104" s="15">
        <f t="shared" si="94"/>
        <v>44.121399041744382</v>
      </c>
      <c r="FY104" s="15">
        <f t="shared" si="95"/>
        <v>47.007546646413147</v>
      </c>
      <c r="FZ104" s="15">
        <f t="shared" si="96"/>
        <v>31.448450516367828</v>
      </c>
      <c r="GA104" s="15">
        <f t="shared" si="97"/>
        <v>94.211704607155539</v>
      </c>
      <c r="GC104">
        <f t="shared" si="98"/>
        <v>48.490230905861459</v>
      </c>
      <c r="GD104">
        <f t="shared" si="99"/>
        <v>31.290016599478299</v>
      </c>
      <c r="GE104" s="14">
        <f t="shared" si="324"/>
        <v>43.642798463332802</v>
      </c>
      <c r="GF104" t="e">
        <f>IF(#REF!=FALSE,FALSE,CH104)</f>
        <v>#REF!</v>
      </c>
      <c r="GG104" t="e">
        <f>IF(#REF!=FALSE,FALSE,AN104)</f>
        <v>#REF!</v>
      </c>
      <c r="GH104" s="13" t="e">
        <f>#REF!</f>
        <v>#REF!</v>
      </c>
      <c r="GI104">
        <f t="shared" si="101"/>
        <v>31.290016599478299</v>
      </c>
      <c r="GJ104">
        <f t="shared" si="102"/>
        <v>16.867999999999999</v>
      </c>
      <c r="GK104" s="13">
        <f t="shared" si="325"/>
        <v>44.121399041744382</v>
      </c>
      <c r="GL104" t="str">
        <f t="shared" si="326"/>
        <v>PND</v>
      </c>
      <c r="GQ104" s="1"/>
      <c r="GR104" s="1"/>
      <c r="GS104" s="1"/>
      <c r="GT104" s="1"/>
      <c r="GU104" s="1"/>
      <c r="GV104" s="1"/>
      <c r="HA104" s="1"/>
    </row>
    <row r="105" spans="1:209">
      <c r="A105" t="s">
        <v>13</v>
      </c>
      <c r="B105" s="21" t="s">
        <v>12</v>
      </c>
      <c r="C105" s="21" t="s">
        <v>11</v>
      </c>
      <c r="D105" t="s">
        <v>16</v>
      </c>
      <c r="E105" t="s">
        <v>10</v>
      </c>
      <c r="F105" t="s">
        <v>9</v>
      </c>
      <c r="G105">
        <v>50</v>
      </c>
      <c r="H105">
        <v>10</v>
      </c>
      <c r="I105">
        <v>2.5</v>
      </c>
      <c r="J105" s="21">
        <f t="shared" si="270"/>
        <v>25</v>
      </c>
      <c r="K105" t="s">
        <v>8</v>
      </c>
      <c r="L105" t="s">
        <v>7</v>
      </c>
      <c r="U105" t="s">
        <v>6</v>
      </c>
      <c r="V105" s="53">
        <f t="shared" si="331"/>
        <v>2</v>
      </c>
      <c r="W105" t="s">
        <v>5</v>
      </c>
      <c r="X105">
        <v>10</v>
      </c>
      <c r="Y105" s="52" t="s">
        <v>4</v>
      </c>
      <c r="Z105" s="52" t="s">
        <v>3</v>
      </c>
      <c r="AA105" s="52"/>
      <c r="AB105" s="52">
        <v>34513</v>
      </c>
      <c r="AC105" s="52">
        <v>34513</v>
      </c>
      <c r="AD105" s="21">
        <f t="shared" si="332"/>
        <v>9</v>
      </c>
      <c r="AE105" s="21">
        <v>9</v>
      </c>
      <c r="AF105" s="21"/>
      <c r="AG105" s="52"/>
      <c r="AH105" s="52"/>
      <c r="AI105" t="b">
        <v>0</v>
      </c>
      <c r="AJ105" s="50">
        <f t="shared" si="333"/>
        <v>3.38</v>
      </c>
      <c r="AK105" s="16">
        <f t="shared" si="334"/>
        <v>6.76</v>
      </c>
      <c r="AL105">
        <v>169</v>
      </c>
      <c r="AM105" s="7">
        <f t="shared" si="335"/>
        <v>15.76</v>
      </c>
      <c r="AN105" s="21">
        <f t="shared" si="355"/>
        <v>394</v>
      </c>
      <c r="AQ105" s="52"/>
      <c r="AS105" s="45">
        <f t="shared" si="336"/>
        <v>3373.5999999999995</v>
      </c>
      <c r="AT105">
        <v>16868</v>
      </c>
      <c r="AU105">
        <v>100000</v>
      </c>
      <c r="AV105">
        <f t="shared" si="337"/>
        <v>16.867999999999999</v>
      </c>
      <c r="AW105" s="55"/>
      <c r="AX105">
        <v>0.77</v>
      </c>
      <c r="AY105" s="21">
        <f t="shared" si="277"/>
        <v>0.33027918781725885</v>
      </c>
      <c r="BA105" s="51">
        <v>1660</v>
      </c>
      <c r="BB105" s="8">
        <f t="shared" si="338"/>
        <v>1660</v>
      </c>
      <c r="BC105" s="24">
        <f t="shared" si="339"/>
        <v>28.131009999999996</v>
      </c>
      <c r="BD105" s="7">
        <f t="shared" si="340"/>
        <v>0.13013000000000002</v>
      </c>
      <c r="BE105" s="7"/>
      <c r="BF105" s="43">
        <f t="shared" si="341"/>
        <v>0.13013000000000002</v>
      </c>
      <c r="BG105">
        <f t="shared" si="342"/>
        <v>28.000879999999995</v>
      </c>
      <c r="BH105" s="50">
        <f t="shared" si="343"/>
        <v>2.34</v>
      </c>
      <c r="BI105" s="21">
        <f t="shared" si="356"/>
        <v>4.68</v>
      </c>
      <c r="BJ105">
        <v>117</v>
      </c>
      <c r="BL105">
        <v>20000</v>
      </c>
      <c r="BQ105">
        <v>2342</v>
      </c>
      <c r="BR105">
        <f t="shared" si="344"/>
        <v>2.3420000000000001</v>
      </c>
      <c r="BS105" s="54"/>
      <c r="BT105">
        <v>1.62</v>
      </c>
      <c r="BV105">
        <v>1650</v>
      </c>
      <c r="BW105" s="24">
        <f t="shared" si="345"/>
        <v>4.0538400000000001</v>
      </c>
      <c r="BX105">
        <f t="shared" si="346"/>
        <v>0.18954000000000001</v>
      </c>
      <c r="BZ105" s="21">
        <f t="shared" si="347"/>
        <v>0.18954000000000001</v>
      </c>
      <c r="CA105">
        <f t="shared" si="348"/>
        <v>3.8643000000000001</v>
      </c>
      <c r="CB105" s="40">
        <f t="shared" si="285"/>
        <v>-45.65434565434564</v>
      </c>
      <c r="CC105" s="39" t="b">
        <f t="shared" si="286"/>
        <v>0</v>
      </c>
      <c r="CD105" s="39" t="b">
        <f t="shared" si="287"/>
        <v>0</v>
      </c>
      <c r="CE105" s="38">
        <f t="shared" si="357"/>
        <v>86.199362305756097</v>
      </c>
      <c r="CF105" s="35" t="b">
        <f t="shared" si="288"/>
        <v>1</v>
      </c>
      <c r="CG105" s="35" t="b">
        <f t="shared" si="289"/>
        <v>1</v>
      </c>
      <c r="CH105" s="17">
        <f t="shared" si="290"/>
        <v>70.304568527918789</v>
      </c>
      <c r="CI105" s="16">
        <f t="shared" si="358"/>
        <v>86.115722077306131</v>
      </c>
      <c r="CJ105" s="35" t="b">
        <f t="shared" si="291"/>
        <v>1</v>
      </c>
      <c r="CK105" s="35" t="b">
        <f t="shared" si="292"/>
        <v>1</v>
      </c>
      <c r="CL105" s="37">
        <f t="shared" si="293"/>
        <v>30.76923076923077</v>
      </c>
      <c r="CM105" s="36">
        <f t="shared" si="349"/>
        <v>85.589426046203101</v>
      </c>
      <c r="CN105" s="35" t="b">
        <f t="shared" si="294"/>
        <v>1</v>
      </c>
      <c r="CO105" s="35" t="b">
        <f t="shared" si="295"/>
        <v>1</v>
      </c>
      <c r="CP105">
        <f t="shared" si="329"/>
        <v>1994</v>
      </c>
      <c r="CQ105" s="52">
        <v>34471</v>
      </c>
      <c r="CR105">
        <f t="shared" si="350"/>
        <v>42</v>
      </c>
      <c r="CS105" t="str">
        <f t="shared" si="297"/>
        <v>Pendimethalin</v>
      </c>
      <c r="CT105">
        <f t="shared" si="298"/>
        <v>10</v>
      </c>
      <c r="CU105" s="7"/>
      <c r="CV105" s="7"/>
      <c r="CW105" s="21">
        <v>0.8</v>
      </c>
      <c r="CX105" s="21">
        <v>13792</v>
      </c>
      <c r="CY105" s="7" t="s">
        <v>2</v>
      </c>
      <c r="CZ105" s="33">
        <v>24</v>
      </c>
      <c r="DA105" s="1">
        <f t="shared" si="299"/>
        <v>394</v>
      </c>
      <c r="DB105" s="3">
        <v>386.36363636363598</v>
      </c>
      <c r="DC105" s="3" t="s">
        <v>1</v>
      </c>
      <c r="DD105" s="32">
        <f t="shared" si="300"/>
        <v>110.336</v>
      </c>
      <c r="DE105" s="32">
        <f t="shared" si="301"/>
        <v>0.21169733654575695</v>
      </c>
      <c r="DF105">
        <f t="shared" si="330"/>
        <v>0.17471139876336822</v>
      </c>
      <c r="DG105">
        <f t="shared" si="359"/>
        <v>0.1293012508162959</v>
      </c>
      <c r="DH105" s="2">
        <f t="shared" si="351"/>
        <v>0.1144966860904765</v>
      </c>
      <c r="DI105" s="7">
        <f t="shared" si="302"/>
        <v>85.709948920658164</v>
      </c>
      <c r="DJ105" s="31">
        <f t="shared" si="352"/>
        <v>4.0199356981347591</v>
      </c>
      <c r="DK105" s="31">
        <f t="shared" si="303"/>
        <v>0.46026931573323626</v>
      </c>
      <c r="DL105" s="31">
        <f t="shared" si="304"/>
        <v>3.5596663824015229</v>
      </c>
      <c r="DM105" s="30">
        <f t="shared" si="353"/>
        <v>-253.69962017462245</v>
      </c>
      <c r="DN105" s="30">
        <f t="shared" si="354"/>
        <v>87.28730531897024</v>
      </c>
      <c r="DO105" s="7">
        <v>24.79</v>
      </c>
      <c r="DP105" s="7">
        <f t="shared" si="305"/>
        <v>37.964467005076152</v>
      </c>
      <c r="DQ105" s="7">
        <f t="shared" si="306"/>
        <v>44.78017548019919</v>
      </c>
      <c r="DR105" s="7">
        <f t="shared" si="57"/>
        <v>-0.46469356461717631</v>
      </c>
      <c r="DS105" s="6">
        <f t="shared" si="307"/>
        <v>-21.36</v>
      </c>
      <c r="DT105" s="5">
        <f t="shared" si="105"/>
        <v>36533.779220779215</v>
      </c>
      <c r="DU105" s="5">
        <f t="shared" si="106"/>
        <v>6686.1818181818107</v>
      </c>
      <c r="DV105" s="5">
        <f t="shared" si="107"/>
        <v>2030.1476479999999</v>
      </c>
      <c r="DW105" s="5">
        <f t="shared" si="108"/>
        <v>86.042581958576619</v>
      </c>
      <c r="DX105" s="5">
        <f t="shared" si="109"/>
        <v>85.71607919852886</v>
      </c>
      <c r="DY105" s="5">
        <f t="shared" si="110"/>
        <v>84.799519803802099</v>
      </c>
      <c r="DZ105" s="5">
        <f t="shared" si="111"/>
        <v>0</v>
      </c>
      <c r="EA105" s="5">
        <f t="shared" si="112"/>
        <v>-0.32650276004774526</v>
      </c>
      <c r="EB105" s="5">
        <f t="shared" si="113"/>
        <v>-1.2430621547745062</v>
      </c>
      <c r="EC105" s="16">
        <f t="shared" si="59"/>
        <v>86.042581958576605</v>
      </c>
      <c r="ED105" s="3">
        <f t="shared" si="114"/>
        <v>24.204647335025378</v>
      </c>
      <c r="EE105" s="16">
        <f t="shared" si="60"/>
        <v>3.9263626649746186</v>
      </c>
      <c r="EF105" s="16">
        <f t="shared" si="308"/>
        <v>14.525999999999998</v>
      </c>
      <c r="EG105" s="16">
        <f t="shared" si="309"/>
        <v>277</v>
      </c>
      <c r="EH105" s="16">
        <f t="shared" si="310"/>
        <v>3.3027918781725887E-4</v>
      </c>
      <c r="EI105" s="20">
        <f t="shared" si="311"/>
        <v>8.8924813524919877E-2</v>
      </c>
      <c r="EJ105" s="26">
        <f t="shared" si="115"/>
        <v>3.8374378514496987</v>
      </c>
      <c r="EK105" s="29">
        <f t="shared" si="312"/>
        <v>31.664632655867315</v>
      </c>
      <c r="EL105" s="28">
        <f t="shared" si="313"/>
        <v>86.295295535534251</v>
      </c>
      <c r="EM105" s="25">
        <f t="shared" si="314"/>
        <v>95.125215805904247</v>
      </c>
      <c r="EN105" s="25">
        <f t="shared" si="315"/>
        <v>2</v>
      </c>
      <c r="EO105" s="25">
        <f t="shared" si="316"/>
        <v>5.8747841940957581</v>
      </c>
      <c r="EP105" s="25">
        <f t="shared" si="70"/>
        <v>2.4237954109404032</v>
      </c>
      <c r="EQ105" s="26">
        <f t="shared" si="71"/>
        <v>1.3713260291194944</v>
      </c>
      <c r="ER105" s="26">
        <f t="shared" si="317"/>
        <v>0.15701228588379457</v>
      </c>
      <c r="ES105" s="26">
        <f t="shared" si="73"/>
        <v>1.2143137432356998</v>
      </c>
      <c r="ET105" s="25">
        <f t="shared" si="318"/>
        <v>-20.658023425647073</v>
      </c>
      <c r="EU105" s="25">
        <f t="shared" si="319"/>
        <v>95.663301498968252</v>
      </c>
      <c r="EV105" s="1"/>
      <c r="EW105" s="1"/>
      <c r="EX105" s="2"/>
      <c r="EY105" s="1"/>
      <c r="EZ105" s="22">
        <f t="shared" si="320"/>
        <v>34513</v>
      </c>
      <c r="FA105" s="3">
        <f t="shared" si="321"/>
        <v>1660</v>
      </c>
      <c r="FB105" s="3">
        <f t="shared" si="322"/>
        <v>1650</v>
      </c>
      <c r="FC105" s="3" t="b">
        <v>1</v>
      </c>
      <c r="FD105" s="3" t="b">
        <v>1</v>
      </c>
      <c r="FE105" s="20">
        <f t="shared" si="79"/>
        <v>4.647353940304735E-3</v>
      </c>
      <c r="FF105" s="20">
        <f t="shared" si="80"/>
        <v>2155.8441558441559</v>
      </c>
      <c r="FG105" s="20">
        <f t="shared" si="81"/>
        <v>4.9048986879900634E-2</v>
      </c>
      <c r="FH105" s="20">
        <f t="shared" si="82"/>
        <v>1018.5185185185185</v>
      </c>
      <c r="FI105" s="19" t="s">
        <v>26</v>
      </c>
      <c r="FJ105" s="18" t="s">
        <v>0</v>
      </c>
      <c r="FK105" s="16">
        <f t="shared" si="323"/>
        <v>85.589426046203101</v>
      </c>
      <c r="FL105" s="17">
        <f t="shared" si="84"/>
        <v>85.589426046203101</v>
      </c>
      <c r="FM105" s="1">
        <f t="shared" si="85"/>
        <v>85.709948920658164</v>
      </c>
      <c r="FN105" s="1">
        <f t="shared" si="86"/>
        <v>86.042581958576605</v>
      </c>
      <c r="FO105" s="1">
        <f t="shared" si="327"/>
        <v>86.042581958576619</v>
      </c>
      <c r="FP105" s="1">
        <f t="shared" si="328"/>
        <v>84.799519803802099</v>
      </c>
      <c r="FQ105" s="1">
        <f t="shared" si="87"/>
        <v>95.125215805904247</v>
      </c>
      <c r="FR105" s="16" t="b">
        <f t="shared" si="360"/>
        <v>0</v>
      </c>
      <c r="FS105" s="17" t="b">
        <f t="shared" si="89"/>
        <v>0</v>
      </c>
      <c r="FT105" s="1" t="b">
        <f t="shared" si="90"/>
        <v>0</v>
      </c>
      <c r="FU105" s="1" t="b">
        <f t="shared" si="91"/>
        <v>0</v>
      </c>
      <c r="FV105" s="1" t="b">
        <f t="shared" si="92"/>
        <v>0</v>
      </c>
      <c r="FW105" s="16">
        <f t="shared" si="361"/>
        <v>86.199362305756097</v>
      </c>
      <c r="FX105" s="15">
        <f t="shared" si="94"/>
        <v>86.199362305756097</v>
      </c>
      <c r="FY105" s="15">
        <f t="shared" si="95"/>
        <v>87.28730531897024</v>
      </c>
      <c r="FZ105" s="15">
        <f t="shared" si="96"/>
        <v>86.295295535534251</v>
      </c>
      <c r="GA105" s="15">
        <f t="shared" si="97"/>
        <v>95.663301498968252</v>
      </c>
      <c r="GC105">
        <f t="shared" si="98"/>
        <v>70.304568527918789</v>
      </c>
      <c r="GD105">
        <f t="shared" si="99"/>
        <v>86.115722077306131</v>
      </c>
      <c r="GE105" s="14">
        <f t="shared" si="324"/>
        <v>85.589426046203101</v>
      </c>
      <c r="GF105" t="e">
        <f>IF(#REF!=FALSE,FALSE,CH105)</f>
        <v>#REF!</v>
      </c>
      <c r="GG105" t="e">
        <f>IF(#REF!=FALSE,FALSE,AN105)</f>
        <v>#REF!</v>
      </c>
      <c r="GH105" s="13" t="e">
        <f>#REF!</f>
        <v>#REF!</v>
      </c>
      <c r="GI105">
        <f t="shared" si="101"/>
        <v>86.115722077306131</v>
      </c>
      <c r="GJ105">
        <f t="shared" si="102"/>
        <v>16.867999999999999</v>
      </c>
      <c r="GK105" s="13">
        <f t="shared" si="325"/>
        <v>86.199362305756097</v>
      </c>
      <c r="GL105" t="str">
        <f t="shared" si="326"/>
        <v>PND</v>
      </c>
      <c r="GQ105" s="1"/>
      <c r="GR105" s="1"/>
      <c r="GS105" s="1"/>
      <c r="GT105" s="1"/>
      <c r="GU105" s="1"/>
      <c r="GV105" s="1"/>
      <c r="HA105" s="1"/>
    </row>
    <row r="106" spans="1:209" s="12" customFormat="1">
      <c r="A106" s="12" t="s">
        <v>13</v>
      </c>
      <c r="B106" s="41" t="s">
        <v>12</v>
      </c>
      <c r="C106" s="41" t="s">
        <v>11</v>
      </c>
      <c r="D106" s="12" t="s">
        <v>14</v>
      </c>
      <c r="E106" s="12" t="s">
        <v>10</v>
      </c>
      <c r="F106" s="12" t="s">
        <v>9</v>
      </c>
      <c r="G106" s="12">
        <v>50</v>
      </c>
      <c r="H106" s="12">
        <v>20</v>
      </c>
      <c r="I106" s="12">
        <v>2.5</v>
      </c>
      <c r="J106" s="41">
        <f t="shared" si="270"/>
        <v>50</v>
      </c>
      <c r="K106" s="12" t="s">
        <v>8</v>
      </c>
      <c r="L106" s="12" t="s">
        <v>7</v>
      </c>
      <c r="U106" s="12" t="s">
        <v>6</v>
      </c>
      <c r="V106" s="48">
        <f t="shared" si="331"/>
        <v>1</v>
      </c>
      <c r="W106" s="12" t="s">
        <v>5</v>
      </c>
      <c r="X106" s="12">
        <v>10</v>
      </c>
      <c r="Y106" s="46" t="s">
        <v>4</v>
      </c>
      <c r="Z106" s="46" t="s">
        <v>3</v>
      </c>
      <c r="AA106" s="46"/>
      <c r="AB106" s="46">
        <v>34513</v>
      </c>
      <c r="AC106" s="46">
        <v>34513</v>
      </c>
      <c r="AD106" s="41">
        <f t="shared" si="332"/>
        <v>9</v>
      </c>
      <c r="AE106" s="41">
        <v>9</v>
      </c>
      <c r="AF106" s="41"/>
      <c r="AG106" s="46"/>
      <c r="AH106" s="46"/>
      <c r="AI106" s="12" t="b">
        <v>0</v>
      </c>
      <c r="AJ106" s="42">
        <f t="shared" si="333"/>
        <v>3.38</v>
      </c>
      <c r="AK106" s="47">
        <f t="shared" si="334"/>
        <v>3.38</v>
      </c>
      <c r="AL106" s="12">
        <v>169</v>
      </c>
      <c r="AM106" s="34">
        <f t="shared" si="335"/>
        <v>12.38</v>
      </c>
      <c r="AN106" s="41">
        <f t="shared" si="355"/>
        <v>619</v>
      </c>
      <c r="AQ106" s="46"/>
      <c r="AS106" s="79">
        <f t="shared" si="336"/>
        <v>3373.5999999999995</v>
      </c>
      <c r="AT106" s="12">
        <v>16868</v>
      </c>
      <c r="AU106" s="12">
        <v>100000</v>
      </c>
      <c r="AV106" s="12">
        <f t="shared" si="337"/>
        <v>16.867999999999999</v>
      </c>
      <c r="AW106" s="77"/>
      <c r="AX106" s="12">
        <v>0.77</v>
      </c>
      <c r="AY106" s="41">
        <f t="shared" si="277"/>
        <v>0.21022617124394183</v>
      </c>
      <c r="BA106" s="44">
        <v>1660</v>
      </c>
      <c r="BB106" s="64">
        <f t="shared" si="338"/>
        <v>1660</v>
      </c>
      <c r="BC106" s="61">
        <f t="shared" si="339"/>
        <v>28.131009999999996</v>
      </c>
      <c r="BD106" s="34">
        <f t="shared" si="340"/>
        <v>0.13013000000000002</v>
      </c>
      <c r="BE106" s="34"/>
      <c r="BF106" s="78">
        <f t="shared" si="341"/>
        <v>0.13013000000000002</v>
      </c>
      <c r="BG106" s="12">
        <f t="shared" si="342"/>
        <v>28.000879999999995</v>
      </c>
      <c r="BH106" s="42">
        <f t="shared" si="343"/>
        <v>1.3</v>
      </c>
      <c r="BI106" s="41">
        <f t="shared" si="356"/>
        <v>1.3</v>
      </c>
      <c r="BJ106" s="12">
        <v>65</v>
      </c>
      <c r="BL106" s="12">
        <v>7210</v>
      </c>
      <c r="BQ106" s="12">
        <v>469</v>
      </c>
      <c r="BR106" s="12">
        <f t="shared" si="344"/>
        <v>0.46899999999999997</v>
      </c>
      <c r="BS106" s="77"/>
      <c r="BT106" s="12">
        <v>1.53</v>
      </c>
      <c r="BV106" s="12">
        <v>5240</v>
      </c>
      <c r="BW106" s="61">
        <f t="shared" si="345"/>
        <v>2.55701</v>
      </c>
      <c r="BX106" s="12">
        <f t="shared" si="346"/>
        <v>9.9450000000000011E-2</v>
      </c>
      <c r="BZ106" s="41">
        <f t="shared" si="347"/>
        <v>9.9450000000000011E-2</v>
      </c>
      <c r="CA106" s="12">
        <f t="shared" si="348"/>
        <v>2.45756</v>
      </c>
      <c r="CB106" s="76">
        <f t="shared" si="285"/>
        <v>23.576423576423583</v>
      </c>
      <c r="CC106" s="75" t="b">
        <f t="shared" si="286"/>
        <v>1</v>
      </c>
      <c r="CD106" s="75" t="b">
        <f t="shared" si="287"/>
        <v>1</v>
      </c>
      <c r="CE106" s="74">
        <f t="shared" si="357"/>
        <v>91.223275839902172</v>
      </c>
      <c r="CF106" s="69" t="b">
        <f t="shared" si="288"/>
        <v>1</v>
      </c>
      <c r="CG106" s="69" t="b">
        <f t="shared" si="289"/>
        <v>1</v>
      </c>
      <c r="CH106" s="57">
        <f t="shared" si="290"/>
        <v>89.499192245557353</v>
      </c>
      <c r="CI106" s="47">
        <f t="shared" si="358"/>
        <v>97.21958738439649</v>
      </c>
      <c r="CJ106" s="69" t="b">
        <f t="shared" si="291"/>
        <v>1</v>
      </c>
      <c r="CK106" s="69" t="b">
        <f t="shared" si="292"/>
        <v>1</v>
      </c>
      <c r="CL106" s="73">
        <f t="shared" si="293"/>
        <v>61.53846153846154</v>
      </c>
      <c r="CM106" s="72">
        <f t="shared" si="349"/>
        <v>90.910351245831563</v>
      </c>
      <c r="CN106" s="69" t="b">
        <f t="shared" si="294"/>
        <v>1</v>
      </c>
      <c r="CO106" s="69" t="b">
        <f t="shared" si="295"/>
        <v>1</v>
      </c>
      <c r="CP106" s="12">
        <f t="shared" si="329"/>
        <v>1994</v>
      </c>
      <c r="CQ106" s="46">
        <v>34471</v>
      </c>
      <c r="CR106" s="12">
        <f t="shared" si="350"/>
        <v>42</v>
      </c>
      <c r="CS106" s="12" t="str">
        <f t="shared" si="297"/>
        <v>Pendimethalin</v>
      </c>
      <c r="CT106" s="12">
        <f t="shared" si="298"/>
        <v>20</v>
      </c>
      <c r="CU106" s="34"/>
      <c r="CV106" s="34"/>
      <c r="CW106" s="41">
        <v>0.8</v>
      </c>
      <c r="CX106" s="41">
        <v>13792</v>
      </c>
      <c r="CY106" s="34" t="s">
        <v>2</v>
      </c>
      <c r="CZ106" s="71">
        <v>24</v>
      </c>
      <c r="DA106" s="12">
        <f t="shared" si="299"/>
        <v>619</v>
      </c>
      <c r="DB106" s="64">
        <v>386.36363636363598</v>
      </c>
      <c r="DC106" s="64" t="s">
        <v>1</v>
      </c>
      <c r="DD106" s="60">
        <f t="shared" si="300"/>
        <v>110.336</v>
      </c>
      <c r="DE106" s="60">
        <f t="shared" si="301"/>
        <v>0.33259048558838467</v>
      </c>
      <c r="DF106" s="12">
        <f t="shared" si="330"/>
        <v>0.24958191521346071</v>
      </c>
      <c r="DG106" s="12">
        <f t="shared" si="359"/>
        <v>0.35871064843848022</v>
      </c>
      <c r="DH106" s="23">
        <f t="shared" si="351"/>
        <v>0.26400812332687179</v>
      </c>
      <c r="DI106" s="34">
        <f t="shared" si="302"/>
        <v>101.61890728153485</v>
      </c>
      <c r="DJ106" s="70">
        <f t="shared" si="352"/>
        <v>-0.4554149692592947</v>
      </c>
      <c r="DK106" s="70">
        <f t="shared" si="303"/>
        <v>-0.12023325136911145</v>
      </c>
      <c r="DL106" s="70">
        <f t="shared" si="304"/>
        <v>-0.33518171789018325</v>
      </c>
      <c r="DM106" s="69">
        <f t="shared" si="353"/>
        <v>192.39472171606195</v>
      </c>
      <c r="DN106" s="69">
        <f t="shared" si="354"/>
        <v>101.19703994263818</v>
      </c>
      <c r="DO106" s="34">
        <v>24.79</v>
      </c>
      <c r="DP106" s="34">
        <f t="shared" si="305"/>
        <v>48.329563812600973</v>
      </c>
      <c r="DQ106" s="34">
        <f t="shared" si="306"/>
        <v>50.554185439886176</v>
      </c>
      <c r="DR106" s="7">
        <f t="shared" si="57"/>
        <v>-0.69484197095229461</v>
      </c>
      <c r="DS106" s="68">
        <f t="shared" si="307"/>
        <v>-21.36</v>
      </c>
      <c r="DT106" s="5">
        <f t="shared" si="105"/>
        <v>36533.779220779215</v>
      </c>
      <c r="DU106" s="5">
        <f t="shared" si="106"/>
        <v>6686.1818181818107</v>
      </c>
      <c r="DV106" s="5">
        <f t="shared" si="107"/>
        <v>2030.1476479999999</v>
      </c>
      <c r="DW106" s="5">
        <f t="shared" si="108"/>
        <v>97.183873948603846</v>
      </c>
      <c r="DX106" s="5">
        <f t="shared" si="109"/>
        <v>97.024446597929114</v>
      </c>
      <c r="DY106" s="5">
        <f t="shared" si="110"/>
        <v>96.576901725671519</v>
      </c>
      <c r="DZ106" s="5">
        <f t="shared" si="111"/>
        <v>0</v>
      </c>
      <c r="EA106" s="5">
        <f t="shared" si="112"/>
        <v>-0.15942735067473279</v>
      </c>
      <c r="EB106" s="5">
        <f t="shared" si="113"/>
        <v>-0.60697222293232755</v>
      </c>
      <c r="EC106" s="47">
        <f t="shared" si="59"/>
        <v>97.183873948603846</v>
      </c>
      <c r="ED106" s="64">
        <f t="shared" si="114"/>
        <v>27.33880529886914</v>
      </c>
      <c r="EE106" s="47">
        <f t="shared" si="60"/>
        <v>0.79220470113085639</v>
      </c>
      <c r="EF106" s="47">
        <f t="shared" si="308"/>
        <v>16.398999999999997</v>
      </c>
      <c r="EG106" s="47">
        <f t="shared" si="309"/>
        <v>554</v>
      </c>
      <c r="EH106" s="47">
        <f t="shared" si="310"/>
        <v>2.1022617124394184E-4</v>
      </c>
      <c r="EI106" s="67">
        <f t="shared" si="311"/>
        <v>4.7852189009762736E-2</v>
      </c>
      <c r="EJ106" s="26">
        <f t="shared" si="115"/>
        <v>0.74435251212109366</v>
      </c>
      <c r="EK106" s="66">
        <f t="shared" si="312"/>
        <v>63.227396442201858</v>
      </c>
      <c r="EL106" s="65">
        <f t="shared" si="313"/>
        <v>97.341681718142098</v>
      </c>
      <c r="EM106" s="62">
        <f t="shared" si="314"/>
        <v>98.767473831929294</v>
      </c>
      <c r="EN106" s="62">
        <f t="shared" si="315"/>
        <v>2</v>
      </c>
      <c r="EO106" s="62">
        <f t="shared" si="316"/>
        <v>2.2325261680707023</v>
      </c>
      <c r="EP106" s="62">
        <f t="shared" si="70"/>
        <v>1.4941640365337074</v>
      </c>
      <c r="EQ106" s="63">
        <f t="shared" si="71"/>
        <v>0.34672205959258601</v>
      </c>
      <c r="ER106" s="63">
        <f t="shared" si="317"/>
        <v>9.1537440269066406E-2</v>
      </c>
      <c r="ES106" s="63">
        <f t="shared" si="73"/>
        <v>0.2551846193235196</v>
      </c>
      <c r="ET106" s="62">
        <f t="shared" si="318"/>
        <v>29.656927480929539</v>
      </c>
      <c r="EU106" s="62">
        <f t="shared" si="319"/>
        <v>99.088655001830233</v>
      </c>
      <c r="EX106" s="23"/>
      <c r="EZ106" s="46">
        <f t="shared" si="320"/>
        <v>34513</v>
      </c>
      <c r="FA106" s="64">
        <f t="shared" si="321"/>
        <v>1660</v>
      </c>
      <c r="FB106" s="64">
        <f t="shared" si="322"/>
        <v>5240</v>
      </c>
      <c r="FC106" s="64" t="b">
        <v>1</v>
      </c>
      <c r="FD106" s="64" t="b">
        <v>1</v>
      </c>
      <c r="FE106" s="20">
        <f t="shared" si="79"/>
        <v>4.647353940304735E-3</v>
      </c>
      <c r="FF106" s="20">
        <f t="shared" si="80"/>
        <v>2155.8441558441559</v>
      </c>
      <c r="FG106" s="20">
        <f t="shared" si="81"/>
        <v>4.0466967235794855E-2</v>
      </c>
      <c r="FH106" s="20">
        <f t="shared" si="82"/>
        <v>3424.8366013071895</v>
      </c>
      <c r="FI106" s="59" t="s">
        <v>25</v>
      </c>
      <c r="FJ106" s="58" t="s">
        <v>0</v>
      </c>
      <c r="FK106" s="47">
        <f t="shared" si="323"/>
        <v>90.910351245831563</v>
      </c>
      <c r="FL106" s="57">
        <f t="shared" si="84"/>
        <v>90.910351245831563</v>
      </c>
      <c r="FM106" s="12">
        <f t="shared" si="85"/>
        <v>101.61890728153485</v>
      </c>
      <c r="FN106" s="12">
        <f t="shared" si="86"/>
        <v>97.183873948603846</v>
      </c>
      <c r="FO106" s="1">
        <f t="shared" si="327"/>
        <v>97.183873948603846</v>
      </c>
      <c r="FP106" s="1">
        <f t="shared" si="328"/>
        <v>96.576901725671519</v>
      </c>
      <c r="FQ106" s="12">
        <f t="shared" si="87"/>
        <v>98.767473831929294</v>
      </c>
      <c r="FR106" s="47">
        <f t="shared" si="360"/>
        <v>23.576423576423583</v>
      </c>
      <c r="FS106" s="57">
        <f t="shared" si="89"/>
        <v>23.576423576423583</v>
      </c>
      <c r="FT106" s="12">
        <f t="shared" si="90"/>
        <v>192.39472171606195</v>
      </c>
      <c r="FU106" s="12">
        <f t="shared" si="91"/>
        <v>63.227396442201858</v>
      </c>
      <c r="FV106" s="12">
        <f t="shared" si="92"/>
        <v>29.656927480929539</v>
      </c>
      <c r="FW106" s="47">
        <f t="shared" si="361"/>
        <v>91.223275839902172</v>
      </c>
      <c r="FX106" s="56">
        <f t="shared" si="94"/>
        <v>91.223275839902172</v>
      </c>
      <c r="FY106" s="56">
        <f t="shared" si="95"/>
        <v>101.19703994263818</v>
      </c>
      <c r="FZ106" s="56">
        <f t="shared" si="96"/>
        <v>97.341681718142098</v>
      </c>
      <c r="GA106" s="56">
        <f t="shared" si="97"/>
        <v>99.088655001830233</v>
      </c>
      <c r="GC106" s="12">
        <f t="shared" si="98"/>
        <v>89.499192245557353</v>
      </c>
      <c r="GD106" s="12">
        <f t="shared" si="99"/>
        <v>97.21958738439649</v>
      </c>
      <c r="GE106" s="57">
        <f t="shared" si="324"/>
        <v>90.910351245831563</v>
      </c>
      <c r="GF106" s="12" t="e">
        <f>IF(#REF!=FALSE,FALSE,CH106)</f>
        <v>#REF!</v>
      </c>
      <c r="GG106" s="12" t="e">
        <f>IF(#REF!=FALSE,FALSE,AN106)</f>
        <v>#REF!</v>
      </c>
      <c r="GH106" s="56" t="e">
        <f>#REF!</f>
        <v>#REF!</v>
      </c>
      <c r="GI106" s="12">
        <f t="shared" si="101"/>
        <v>97.21958738439649</v>
      </c>
      <c r="GJ106" s="12">
        <f t="shared" si="102"/>
        <v>16.867999999999999</v>
      </c>
      <c r="GK106" s="56">
        <f t="shared" si="325"/>
        <v>91.223275839902172</v>
      </c>
      <c r="GL106" s="12" t="str">
        <f t="shared" si="326"/>
        <v>PND</v>
      </c>
    </row>
    <row r="107" spans="1:209">
      <c r="A107" t="s">
        <v>13</v>
      </c>
      <c r="B107" s="21" t="s">
        <v>12</v>
      </c>
      <c r="C107" s="21" t="s">
        <v>11</v>
      </c>
      <c r="D107" t="s">
        <v>18</v>
      </c>
      <c r="E107" t="s">
        <v>10</v>
      </c>
      <c r="F107" t="s">
        <v>9</v>
      </c>
      <c r="G107">
        <v>50</v>
      </c>
      <c r="H107">
        <v>5</v>
      </c>
      <c r="I107">
        <v>2.5</v>
      </c>
      <c r="J107" s="21">
        <f t="shared" si="270"/>
        <v>12.5</v>
      </c>
      <c r="K107" t="s">
        <v>8</v>
      </c>
      <c r="L107" t="s">
        <v>7</v>
      </c>
      <c r="U107" t="s">
        <v>6</v>
      </c>
      <c r="V107" s="53">
        <f t="shared" si="331"/>
        <v>4</v>
      </c>
      <c r="W107" t="s">
        <v>5</v>
      </c>
      <c r="X107">
        <v>10</v>
      </c>
      <c r="Y107" s="52" t="s">
        <v>4</v>
      </c>
      <c r="Z107" s="52" t="s">
        <v>3</v>
      </c>
      <c r="AA107" s="52"/>
      <c r="AB107" s="52">
        <v>34519</v>
      </c>
      <c r="AC107" s="52">
        <v>34519</v>
      </c>
      <c r="AD107" s="21">
        <f t="shared" si="332"/>
        <v>17.600000000000001</v>
      </c>
      <c r="AE107" s="21">
        <v>17.600000000000001</v>
      </c>
      <c r="AF107" s="21"/>
      <c r="AG107" s="52"/>
      <c r="AH107" s="52"/>
      <c r="AI107" t="b">
        <v>0</v>
      </c>
      <c r="AJ107" s="50">
        <f t="shared" si="333"/>
        <v>1.7280000000000002</v>
      </c>
      <c r="AK107" s="16">
        <f t="shared" si="334"/>
        <v>6.9120000000000008</v>
      </c>
      <c r="AL107">
        <v>86.4</v>
      </c>
      <c r="AM107" s="7">
        <f t="shared" si="335"/>
        <v>24.512000000000004</v>
      </c>
      <c r="AN107" s="21">
        <f t="shared" si="355"/>
        <v>306.40000000000003</v>
      </c>
      <c r="AQ107" s="52"/>
      <c r="AS107" s="45">
        <f t="shared" si="336"/>
        <v>1209</v>
      </c>
      <c r="AT107">
        <v>6045</v>
      </c>
      <c r="AU107">
        <v>70000</v>
      </c>
      <c r="AV107">
        <f t="shared" si="337"/>
        <v>6.0449999999999999</v>
      </c>
      <c r="AW107" s="55"/>
      <c r="AX107">
        <v>6.05</v>
      </c>
      <c r="AY107" s="21">
        <f t="shared" si="277"/>
        <v>1.7060052219321147</v>
      </c>
      <c r="BA107" s="51">
        <v>1710</v>
      </c>
      <c r="BB107" s="8">
        <f t="shared" si="338"/>
        <v>1710</v>
      </c>
      <c r="BC107" s="24">
        <f t="shared" si="339"/>
        <v>10.859669999999999</v>
      </c>
      <c r="BD107" s="7">
        <f t="shared" si="340"/>
        <v>0.52272000000000007</v>
      </c>
      <c r="BE107" s="7"/>
      <c r="BF107" s="43">
        <f t="shared" si="341"/>
        <v>0.52272000000000007</v>
      </c>
      <c r="BG107">
        <f t="shared" si="342"/>
        <v>10.33695</v>
      </c>
      <c r="BH107" s="50">
        <f t="shared" si="343"/>
        <v>1.52</v>
      </c>
      <c r="BI107" s="21">
        <f t="shared" si="356"/>
        <v>6.08</v>
      </c>
      <c r="BJ107">
        <v>76</v>
      </c>
      <c r="BL107">
        <v>86500</v>
      </c>
      <c r="BQ107">
        <v>6577</v>
      </c>
      <c r="BR107">
        <f t="shared" si="344"/>
        <v>6.577</v>
      </c>
      <c r="BS107" s="54"/>
      <c r="BT107">
        <v>5.14</v>
      </c>
      <c r="BV107">
        <v>1610</v>
      </c>
      <c r="BW107" s="24">
        <f t="shared" si="345"/>
        <v>10.979609999999999</v>
      </c>
      <c r="BX107">
        <f t="shared" si="346"/>
        <v>0.39063999999999999</v>
      </c>
      <c r="BZ107" s="21">
        <f t="shared" si="347"/>
        <v>0.39063999999999999</v>
      </c>
      <c r="CA107">
        <f t="shared" si="348"/>
        <v>10.58897</v>
      </c>
      <c r="CB107" s="40">
        <f t="shared" si="285"/>
        <v>25.267829813284372</v>
      </c>
      <c r="CC107" s="39" t="b">
        <f t="shared" si="286"/>
        <v>1</v>
      </c>
      <c r="CD107" s="39" t="b">
        <f t="shared" si="287"/>
        <v>1</v>
      </c>
      <c r="CE107" s="38">
        <f t="shared" si="357"/>
        <v>-2.4380499083385323</v>
      </c>
      <c r="CF107" s="35" t="b">
        <f t="shared" si="288"/>
        <v>0</v>
      </c>
      <c r="CG107" s="35" t="b">
        <f t="shared" si="289"/>
        <v>0</v>
      </c>
      <c r="CH107" s="17">
        <f t="shared" si="290"/>
        <v>75.195822454308086</v>
      </c>
      <c r="CI107" s="16">
        <f t="shared" si="358"/>
        <v>-8.8006617038875099</v>
      </c>
      <c r="CJ107" s="35" t="b">
        <f t="shared" si="291"/>
        <v>0</v>
      </c>
      <c r="CK107" s="35" t="b">
        <f t="shared" si="292"/>
        <v>0</v>
      </c>
      <c r="CL107" s="37">
        <f t="shared" si="293"/>
        <v>12.037037037037043</v>
      </c>
      <c r="CM107" s="36">
        <f t="shared" si="349"/>
        <v>-1.1044534502429606</v>
      </c>
      <c r="CN107" s="35" t="b">
        <f t="shared" si="294"/>
        <v>0</v>
      </c>
      <c r="CO107" s="35" t="b">
        <f t="shared" si="295"/>
        <v>0</v>
      </c>
      <c r="CP107">
        <f t="shared" si="329"/>
        <v>1994</v>
      </c>
      <c r="CQ107" s="52">
        <v>34471</v>
      </c>
      <c r="CR107">
        <f t="shared" si="350"/>
        <v>48</v>
      </c>
      <c r="CS107" t="str">
        <f t="shared" si="297"/>
        <v>Pendimethalin</v>
      </c>
      <c r="CT107">
        <f t="shared" si="298"/>
        <v>5</v>
      </c>
      <c r="CU107" s="7"/>
      <c r="CV107" s="7"/>
      <c r="CW107" s="21">
        <v>0.8</v>
      </c>
      <c r="CX107" s="21">
        <v>13792</v>
      </c>
      <c r="CY107" s="7" t="s">
        <v>2</v>
      </c>
      <c r="CZ107" s="33">
        <v>24</v>
      </c>
      <c r="DA107" s="1">
        <f t="shared" si="299"/>
        <v>306.40000000000003</v>
      </c>
      <c r="DB107" s="3">
        <v>386.36363636363598</v>
      </c>
      <c r="DC107" s="3" t="s">
        <v>1</v>
      </c>
      <c r="DD107" s="32">
        <f t="shared" si="300"/>
        <v>110.336</v>
      </c>
      <c r="DE107" s="32">
        <f t="shared" si="301"/>
        <v>0.45938331807652971</v>
      </c>
      <c r="DF107">
        <f t="shared" si="330"/>
        <v>0.31477906618940793</v>
      </c>
      <c r="DG107">
        <f t="shared" si="359"/>
        <v>2.9908146929138114E-2</v>
      </c>
      <c r="DH107" s="2">
        <f t="shared" si="351"/>
        <v>2.9039625541670677E-2</v>
      </c>
      <c r="DI107" s="7">
        <f t="shared" si="302"/>
        <v>38.544606252204936</v>
      </c>
      <c r="DJ107" s="31">
        <f t="shared" si="352"/>
        <v>6.6738529582111754</v>
      </c>
      <c r="DK107" s="31">
        <f t="shared" si="303"/>
        <v>0.19380619082662331</v>
      </c>
      <c r="DL107" s="31">
        <f t="shared" si="304"/>
        <v>6.4800467673845521</v>
      </c>
      <c r="DM107" s="30">
        <f t="shared" si="353"/>
        <v>62.923517212537625</v>
      </c>
      <c r="DN107" s="30">
        <f t="shared" si="354"/>
        <v>37.311810859251985</v>
      </c>
      <c r="DO107" s="7">
        <v>24.79</v>
      </c>
      <c r="DP107" s="7">
        <f t="shared" si="305"/>
        <v>40.605744125326368</v>
      </c>
      <c r="DQ107" s="7">
        <f t="shared" si="306"/>
        <v>-4.5763440860215052</v>
      </c>
      <c r="DR107" s="7">
        <f t="shared" si="57"/>
        <v>-0.91479378709991643</v>
      </c>
      <c r="DS107" s="6">
        <f t="shared" si="307"/>
        <v>-21.36</v>
      </c>
      <c r="DT107" s="5">
        <f t="shared" si="105"/>
        <v>1794.9867768595045</v>
      </c>
      <c r="DU107" s="5">
        <f t="shared" si="106"/>
        <v>2421.9681818181793</v>
      </c>
      <c r="DV107" s="5">
        <f t="shared" si="107"/>
        <v>753.38112000000001</v>
      </c>
      <c r="DW107" s="5">
        <f t="shared" si="108"/>
        <v>-4.7575699525569446</v>
      </c>
      <c r="DX107" s="5">
        <f t="shared" si="109"/>
        <v>-5.8042159678332794</v>
      </c>
      <c r="DY107" s="5">
        <f t="shared" si="110"/>
        <v>0.83230631005488842</v>
      </c>
      <c r="DZ107" s="5">
        <f t="shared" si="111"/>
        <v>0</v>
      </c>
      <c r="EA107" s="5">
        <f t="shared" si="112"/>
        <v>-1.0466460152763348</v>
      </c>
      <c r="EB107" s="5">
        <f t="shared" si="113"/>
        <v>5.589876262611833</v>
      </c>
      <c r="EC107" s="16">
        <f t="shared" si="59"/>
        <v>-4.7575699525569446</v>
      </c>
      <c r="ED107" s="3">
        <f t="shared" si="114"/>
        <v>-0.51665639686684073</v>
      </c>
      <c r="EE107" s="16">
        <f t="shared" si="60"/>
        <v>11.37632639686684</v>
      </c>
      <c r="EF107" s="16">
        <f t="shared" si="308"/>
        <v>-0.53200000000000003</v>
      </c>
      <c r="EG107" s="16">
        <f t="shared" si="309"/>
        <v>230.40000000000003</v>
      </c>
      <c r="EH107" s="16">
        <f t="shared" si="310"/>
        <v>1.7060052219321146E-3</v>
      </c>
      <c r="EI107" s="20">
        <f t="shared" si="311"/>
        <v>0.44683280931650238</v>
      </c>
      <c r="EJ107" s="26">
        <f t="shared" si="115"/>
        <v>10.929493587550338</v>
      </c>
      <c r="EK107" s="29">
        <f t="shared" si="312"/>
        <v>14.517751508168367</v>
      </c>
      <c r="EL107" s="28">
        <f t="shared" si="313"/>
        <v>-5.7322864824763418</v>
      </c>
      <c r="EM107" s="25">
        <f t="shared" si="314"/>
        <v>100.94486862194987</v>
      </c>
      <c r="EN107" s="25">
        <f t="shared" si="315"/>
        <v>2</v>
      </c>
      <c r="EO107" s="25">
        <f t="shared" si="316"/>
        <v>5.5131378050139075E-2</v>
      </c>
      <c r="EP107" s="25">
        <f t="shared" si="70"/>
        <v>0.23480071986716539</v>
      </c>
      <c r="EQ107" s="26">
        <f t="shared" si="71"/>
        <v>-0.10260961427730324</v>
      </c>
      <c r="ER107" s="26">
        <f t="shared" si="317"/>
        <v>-2.9797447755881418E-3</v>
      </c>
      <c r="ES107" s="26">
        <f t="shared" si="73"/>
        <v>-9.9629869501715096E-2</v>
      </c>
      <c r="ET107" s="25">
        <f t="shared" si="318"/>
        <v>100.57004606205773</v>
      </c>
      <c r="EU107" s="25">
        <f t="shared" si="319"/>
        <v>100.96382268949462</v>
      </c>
      <c r="EV107" s="1"/>
      <c r="EW107" s="1"/>
      <c r="EX107" s="2"/>
      <c r="EY107" s="1"/>
      <c r="EZ107" s="22">
        <f t="shared" si="320"/>
        <v>34519</v>
      </c>
      <c r="FA107" s="3">
        <f t="shared" si="321"/>
        <v>1710</v>
      </c>
      <c r="FB107" s="3">
        <f t="shared" si="322"/>
        <v>1610</v>
      </c>
      <c r="FC107" s="3" t="b">
        <v>1</v>
      </c>
      <c r="FD107" s="3" t="b">
        <v>1</v>
      </c>
      <c r="FE107" s="20">
        <f t="shared" si="79"/>
        <v>5.0568107613948032E-2</v>
      </c>
      <c r="FF107" s="20">
        <f t="shared" si="80"/>
        <v>282.64462809917359</v>
      </c>
      <c r="FG107" s="20">
        <f t="shared" si="81"/>
        <v>3.6891217937155357E-2</v>
      </c>
      <c r="FH107" s="20">
        <f t="shared" si="82"/>
        <v>313.22957198443584</v>
      </c>
      <c r="FI107" s="19" t="s">
        <v>24</v>
      </c>
      <c r="FJ107" s="18" t="s">
        <v>0</v>
      </c>
      <c r="FK107" s="16" t="b">
        <f t="shared" si="323"/>
        <v>0</v>
      </c>
      <c r="FL107" s="17"/>
      <c r="FM107" s="1"/>
      <c r="FN107" s="1"/>
      <c r="FO107" s="1"/>
      <c r="FP107" s="1"/>
      <c r="FQ107" s="1"/>
      <c r="FR107" s="16" t="b">
        <f t="shared" si="360"/>
        <v>0</v>
      </c>
      <c r="FS107" s="17" t="b">
        <f t="shared" si="89"/>
        <v>0</v>
      </c>
      <c r="FT107" s="1" t="b">
        <f t="shared" si="90"/>
        <v>0</v>
      </c>
      <c r="FU107" s="1" t="b">
        <f t="shared" si="91"/>
        <v>0</v>
      </c>
      <c r="FV107" s="1" t="b">
        <f t="shared" si="92"/>
        <v>0</v>
      </c>
      <c r="FW107" s="16" t="b">
        <f t="shared" si="361"/>
        <v>0</v>
      </c>
      <c r="FX107" s="15" t="b">
        <f t="shared" si="94"/>
        <v>0</v>
      </c>
      <c r="FY107" s="15" t="b">
        <f t="shared" si="95"/>
        <v>0</v>
      </c>
      <c r="FZ107" s="15" t="b">
        <f t="shared" si="96"/>
        <v>0</v>
      </c>
      <c r="GA107" s="15" t="b">
        <f t="shared" si="97"/>
        <v>0</v>
      </c>
      <c r="GE107" s="14">
        <f t="shared" si="324"/>
        <v>0</v>
      </c>
      <c r="GF107" t="e">
        <f>IF(#REF!=FALSE,FALSE,CH107)</f>
        <v>#REF!</v>
      </c>
      <c r="GG107" t="e">
        <f>IF(#REF!=FALSE,FALSE,AN107)</f>
        <v>#REF!</v>
      </c>
      <c r="GH107" s="13" t="e">
        <f>#REF!</f>
        <v>#REF!</v>
      </c>
      <c r="GI107" t="b">
        <f t="shared" si="101"/>
        <v>0</v>
      </c>
      <c r="GJ107" t="b">
        <f t="shared" si="102"/>
        <v>0</v>
      </c>
      <c r="GK107" s="13" t="b">
        <f t="shared" si="325"/>
        <v>0</v>
      </c>
      <c r="GL107" t="str">
        <f t="shared" si="326"/>
        <v>PND</v>
      </c>
      <c r="GQ107" s="1"/>
      <c r="GR107" s="1"/>
      <c r="GS107" s="1"/>
      <c r="GT107" s="1"/>
      <c r="GU107" s="1"/>
      <c r="GV107" s="1"/>
      <c r="HA107" s="1"/>
    </row>
    <row r="108" spans="1:209">
      <c r="A108" t="s">
        <v>13</v>
      </c>
      <c r="B108" s="21" t="s">
        <v>12</v>
      </c>
      <c r="C108" s="21" t="s">
        <v>11</v>
      </c>
      <c r="D108" t="s">
        <v>16</v>
      </c>
      <c r="E108" t="s">
        <v>10</v>
      </c>
      <c r="F108" t="s">
        <v>9</v>
      </c>
      <c r="G108">
        <v>50</v>
      </c>
      <c r="H108">
        <v>10</v>
      </c>
      <c r="I108">
        <v>2.5</v>
      </c>
      <c r="J108" s="21">
        <f t="shared" si="270"/>
        <v>25</v>
      </c>
      <c r="K108" t="s">
        <v>8</v>
      </c>
      <c r="L108" t="s">
        <v>7</v>
      </c>
      <c r="U108" t="s">
        <v>6</v>
      </c>
      <c r="V108" s="53">
        <f t="shared" si="331"/>
        <v>2</v>
      </c>
      <c r="W108" t="s">
        <v>5</v>
      </c>
      <c r="X108">
        <v>10</v>
      </c>
      <c r="Y108" s="52" t="s">
        <v>4</v>
      </c>
      <c r="Z108" s="52" t="s">
        <v>3</v>
      </c>
      <c r="AA108" s="52"/>
      <c r="AB108" s="52">
        <v>34519</v>
      </c>
      <c r="AC108" s="52">
        <v>34519</v>
      </c>
      <c r="AD108" s="21">
        <f t="shared" si="332"/>
        <v>17.600000000000001</v>
      </c>
      <c r="AE108" s="21">
        <v>17.600000000000001</v>
      </c>
      <c r="AF108" s="21"/>
      <c r="AG108" s="52"/>
      <c r="AH108" s="52"/>
      <c r="AI108" t="b">
        <v>0</v>
      </c>
      <c r="AJ108" s="50">
        <f t="shared" si="333"/>
        <v>1.7280000000000002</v>
      </c>
      <c r="AK108" s="16">
        <f t="shared" si="334"/>
        <v>3.4560000000000004</v>
      </c>
      <c r="AL108">
        <v>86.4</v>
      </c>
      <c r="AM108" s="7">
        <f t="shared" si="335"/>
        <v>21.056000000000004</v>
      </c>
      <c r="AN108" s="21">
        <f t="shared" si="355"/>
        <v>526.40000000000009</v>
      </c>
      <c r="AQ108" s="52"/>
      <c r="AS108" s="45">
        <f t="shared" si="336"/>
        <v>1209</v>
      </c>
      <c r="AT108">
        <v>6045</v>
      </c>
      <c r="AU108">
        <v>70000</v>
      </c>
      <c r="AV108">
        <f t="shared" si="337"/>
        <v>6.0449999999999999</v>
      </c>
      <c r="AW108" s="55"/>
      <c r="AX108">
        <v>6.05</v>
      </c>
      <c r="AY108" s="21">
        <f t="shared" si="277"/>
        <v>0.99300911854103335</v>
      </c>
      <c r="BA108" s="51">
        <v>1710</v>
      </c>
      <c r="BB108" s="8">
        <f t="shared" si="338"/>
        <v>1710</v>
      </c>
      <c r="BC108" s="24">
        <f t="shared" si="339"/>
        <v>10.859669999999999</v>
      </c>
      <c r="BD108" s="7">
        <f t="shared" si="340"/>
        <v>0.52272000000000007</v>
      </c>
      <c r="BE108" s="7"/>
      <c r="BF108" s="43">
        <f t="shared" si="341"/>
        <v>0.52272000000000007</v>
      </c>
      <c r="BG108">
        <f t="shared" si="342"/>
        <v>10.33695</v>
      </c>
      <c r="BH108" s="50">
        <f t="shared" si="343"/>
        <v>0.72</v>
      </c>
      <c r="BI108" s="21">
        <f t="shared" si="356"/>
        <v>1.44</v>
      </c>
      <c r="BJ108">
        <v>36</v>
      </c>
      <c r="BL108">
        <v>24400</v>
      </c>
      <c r="BQ108">
        <v>879</v>
      </c>
      <c r="BR108">
        <f t="shared" si="344"/>
        <v>0.879</v>
      </c>
      <c r="BS108" s="54"/>
      <c r="BT108">
        <v>3.44</v>
      </c>
      <c r="BV108">
        <v>1430</v>
      </c>
      <c r="BW108" s="24">
        <f t="shared" si="345"/>
        <v>1.3808099999999999</v>
      </c>
      <c r="BX108">
        <f t="shared" si="346"/>
        <v>0.12383999999999999</v>
      </c>
      <c r="BZ108" s="21">
        <f t="shared" si="347"/>
        <v>0.12383999999999999</v>
      </c>
      <c r="CA108">
        <f t="shared" si="348"/>
        <v>1.2569699999999999</v>
      </c>
      <c r="CB108" s="40">
        <f t="shared" si="285"/>
        <v>76.308539944903586</v>
      </c>
      <c r="CC108" s="39" t="b">
        <f t="shared" si="286"/>
        <v>1</v>
      </c>
      <c r="CD108" s="39" t="b">
        <f t="shared" si="287"/>
        <v>1</v>
      </c>
      <c r="CE108" s="38">
        <f t="shared" si="357"/>
        <v>87.840030182984336</v>
      </c>
      <c r="CF108" s="35" t="b">
        <f t="shared" si="288"/>
        <v>1</v>
      </c>
      <c r="CG108" s="35" t="b">
        <f t="shared" si="289"/>
        <v>1</v>
      </c>
      <c r="CH108" s="17">
        <f t="shared" si="290"/>
        <v>93.161094224924014</v>
      </c>
      <c r="CI108" s="16">
        <f t="shared" si="358"/>
        <v>85.459057071960302</v>
      </c>
      <c r="CJ108" s="35" t="b">
        <f t="shared" si="291"/>
        <v>1</v>
      </c>
      <c r="CK108" s="35" t="b">
        <f t="shared" si="292"/>
        <v>1</v>
      </c>
      <c r="CL108" s="37">
        <f t="shared" si="293"/>
        <v>58.333333333333336</v>
      </c>
      <c r="CM108" s="36">
        <f t="shared" si="349"/>
        <v>87.284972747790675</v>
      </c>
      <c r="CN108" s="35" t="b">
        <f t="shared" si="294"/>
        <v>1</v>
      </c>
      <c r="CO108" s="35" t="b">
        <f t="shared" si="295"/>
        <v>1</v>
      </c>
      <c r="CP108">
        <f t="shared" si="329"/>
        <v>1994</v>
      </c>
      <c r="CQ108" s="52">
        <v>34471</v>
      </c>
      <c r="CR108">
        <f t="shared" si="350"/>
        <v>48</v>
      </c>
      <c r="CS108" t="str">
        <f t="shared" ref="CS108:CS114" si="362">K108</f>
        <v>Pendimethalin</v>
      </c>
      <c r="CT108">
        <f t="shared" ref="CT108:CT114" si="363">H108</f>
        <v>10</v>
      </c>
      <c r="CU108" s="7"/>
      <c r="CV108" s="7"/>
      <c r="CW108" s="21">
        <v>0.8</v>
      </c>
      <c r="CX108" s="21">
        <v>13792</v>
      </c>
      <c r="CY108" s="7" t="s">
        <v>2</v>
      </c>
      <c r="CZ108" s="33">
        <v>24</v>
      </c>
      <c r="DA108" s="1">
        <f t="shared" si="299"/>
        <v>526.40000000000009</v>
      </c>
      <c r="DB108" s="3">
        <v>386.36363636363598</v>
      </c>
      <c r="DC108" s="3" t="s">
        <v>1</v>
      </c>
      <c r="DD108" s="32">
        <f t="shared" si="300"/>
        <v>110.336</v>
      </c>
      <c r="DE108" s="32">
        <f t="shared" si="301"/>
        <v>0.78922773706098315</v>
      </c>
      <c r="DF108">
        <f t="shared" si="330"/>
        <v>0.44109965473561369</v>
      </c>
      <c r="DG108">
        <f t="shared" si="359"/>
        <v>0.10600281068058633</v>
      </c>
      <c r="DH108" s="2">
        <f t="shared" si="351"/>
        <v>9.5843165728807481E-2</v>
      </c>
      <c r="DI108" s="7">
        <f t="shared" si="302"/>
        <v>96.767783049100103</v>
      </c>
      <c r="DJ108" s="31">
        <f t="shared" si="352"/>
        <v>0.35100809455179138</v>
      </c>
      <c r="DK108" s="31">
        <f t="shared" si="303"/>
        <v>3.3641726978280273E-2</v>
      </c>
      <c r="DL108" s="31">
        <f t="shared" si="304"/>
        <v>0.31736636757351111</v>
      </c>
      <c r="DM108" s="30">
        <f t="shared" si="353"/>
        <v>93.564101817745581</v>
      </c>
      <c r="DN108" s="30">
        <f t="shared" si="354"/>
        <v>96.929787146368014</v>
      </c>
      <c r="DO108" s="7">
        <v>24.79</v>
      </c>
      <c r="DP108" s="7">
        <f t="shared" si="305"/>
        <v>50.306990881458972</v>
      </c>
      <c r="DQ108" s="7">
        <f t="shared" si="306"/>
        <v>44.438709677419361</v>
      </c>
      <c r="DR108" s="7">
        <f t="shared" si="57"/>
        <v>-1.4079175097782191</v>
      </c>
      <c r="DS108" s="6">
        <f t="shared" si="307"/>
        <v>-21.36</v>
      </c>
      <c r="DT108" s="5">
        <f t="shared" si="105"/>
        <v>1794.9867768595045</v>
      </c>
      <c r="DU108" s="5">
        <f t="shared" si="106"/>
        <v>2421.9681818181793</v>
      </c>
      <c r="DV108" s="5">
        <f t="shared" si="107"/>
        <v>753.38112000000001</v>
      </c>
      <c r="DW108" s="5">
        <f t="shared" si="108"/>
        <v>85.829787385183181</v>
      </c>
      <c r="DX108" s="5">
        <f t="shared" si="109"/>
        <v>85.733815433780123</v>
      </c>
      <c r="DY108" s="5">
        <f t="shared" si="110"/>
        <v>86.342349727364322</v>
      </c>
      <c r="DZ108" s="5">
        <f t="shared" si="111"/>
        <v>0</v>
      </c>
      <c r="EA108" s="5">
        <f t="shared" si="112"/>
        <v>-9.5971951403072353E-2</v>
      </c>
      <c r="EB108" s="5">
        <f t="shared" si="113"/>
        <v>0.51256234218112695</v>
      </c>
      <c r="EC108" s="16">
        <f t="shared" si="59"/>
        <v>85.829787385183195</v>
      </c>
      <c r="ED108" s="3">
        <f t="shared" si="114"/>
        <v>9.3208316717325239</v>
      </c>
      <c r="EE108" s="16">
        <f t="shared" si="60"/>
        <v>1.5388383282674756</v>
      </c>
      <c r="EF108" s="16">
        <f t="shared" si="308"/>
        <v>5.1660000000000004</v>
      </c>
      <c r="EG108" s="16">
        <f t="shared" si="309"/>
        <v>490.40000000000009</v>
      </c>
      <c r="EH108" s="16">
        <f t="shared" si="310"/>
        <v>9.9300911854103332E-4</v>
      </c>
      <c r="EI108" s="20">
        <f t="shared" si="311"/>
        <v>0.19475910017296627</v>
      </c>
      <c r="EJ108" s="26">
        <f t="shared" si="115"/>
        <v>1.3440792280945093</v>
      </c>
      <c r="EK108" s="29">
        <f t="shared" si="312"/>
        <v>62.741218975174803</v>
      </c>
      <c r="EL108" s="28">
        <f t="shared" si="313"/>
        <v>86.997332597192496</v>
      </c>
      <c r="EM108" s="25">
        <f t="shared" si="314"/>
        <v>99.920087364753456</v>
      </c>
      <c r="EN108" s="25">
        <f t="shared" si="315"/>
        <v>2</v>
      </c>
      <c r="EO108" s="25">
        <f t="shared" si="316"/>
        <v>1.0799126352465409</v>
      </c>
      <c r="EP108" s="25">
        <f t="shared" si="70"/>
        <v>1.0391884503046311</v>
      </c>
      <c r="EQ108" s="26">
        <f t="shared" si="71"/>
        <v>8.6782484760788477E-3</v>
      </c>
      <c r="ER108" s="26">
        <f t="shared" si="317"/>
        <v>8.3175080692859601E-4</v>
      </c>
      <c r="ES108" s="26">
        <f t="shared" si="73"/>
        <v>7.8464976691502517E-3</v>
      </c>
      <c r="ET108" s="25">
        <f t="shared" si="318"/>
        <v>99.840880240486584</v>
      </c>
      <c r="EU108" s="25">
        <f t="shared" si="319"/>
        <v>99.924092719137164</v>
      </c>
      <c r="EV108" s="1"/>
      <c r="EW108" s="1"/>
      <c r="EX108" s="2"/>
      <c r="EY108" s="1"/>
      <c r="EZ108" s="22">
        <f t="shared" si="320"/>
        <v>34519</v>
      </c>
      <c r="FA108" s="3">
        <f t="shared" si="321"/>
        <v>1710</v>
      </c>
      <c r="FB108" s="3">
        <f t="shared" si="322"/>
        <v>1430</v>
      </c>
      <c r="FC108" s="3" t="b">
        <v>1</v>
      </c>
      <c r="FD108" s="3" t="b">
        <v>1</v>
      </c>
      <c r="FE108" s="20">
        <f t="shared" si="79"/>
        <v>5.0568107613948032E-2</v>
      </c>
      <c r="FF108" s="20">
        <f t="shared" si="80"/>
        <v>282.64462809917359</v>
      </c>
      <c r="FG108" s="20">
        <f t="shared" si="81"/>
        <v>9.8522637771784535E-2</v>
      </c>
      <c r="FH108" s="20">
        <f t="shared" si="82"/>
        <v>415.69767441860466</v>
      </c>
      <c r="FI108" s="19" t="s">
        <v>23</v>
      </c>
      <c r="FJ108" s="18" t="s">
        <v>0</v>
      </c>
      <c r="FK108" s="16">
        <f t="shared" si="323"/>
        <v>87.284972747790675</v>
      </c>
      <c r="FL108" s="17">
        <f t="shared" si="84"/>
        <v>87.284972747790675</v>
      </c>
      <c r="FM108" s="1">
        <f t="shared" si="85"/>
        <v>96.767783049100103</v>
      </c>
      <c r="FN108" s="1">
        <f t="shared" si="86"/>
        <v>85.829787385183195</v>
      </c>
      <c r="FO108" s="1">
        <f t="shared" si="327"/>
        <v>85.829787385183181</v>
      </c>
      <c r="FP108" s="1">
        <f t="shared" si="328"/>
        <v>86.342349727364322</v>
      </c>
      <c r="FQ108" s="1">
        <f t="shared" si="87"/>
        <v>99.920087364753456</v>
      </c>
      <c r="FR108" s="16">
        <f t="shared" si="360"/>
        <v>76.308539944903586</v>
      </c>
      <c r="FS108" s="17">
        <f t="shared" si="89"/>
        <v>76.308539944903586</v>
      </c>
      <c r="FT108" s="1">
        <f t="shared" si="90"/>
        <v>93.564101817745581</v>
      </c>
      <c r="FU108" s="1">
        <f t="shared" si="91"/>
        <v>62.741218975174803</v>
      </c>
      <c r="FV108" s="1">
        <f t="shared" si="92"/>
        <v>99.840880240486584</v>
      </c>
      <c r="FW108" s="16">
        <f t="shared" si="361"/>
        <v>87.840030182984336</v>
      </c>
      <c r="FX108" s="15">
        <f t="shared" si="94"/>
        <v>87.840030182984336</v>
      </c>
      <c r="FY108" s="15">
        <f t="shared" si="95"/>
        <v>96.929787146368014</v>
      </c>
      <c r="FZ108" s="15">
        <f t="shared" si="96"/>
        <v>86.997332597192496</v>
      </c>
      <c r="GA108" s="15">
        <f t="shared" si="97"/>
        <v>99.924092719137164</v>
      </c>
      <c r="GC108">
        <f t="shared" si="98"/>
        <v>93.161094224924014</v>
      </c>
      <c r="GD108">
        <f t="shared" si="99"/>
        <v>85.459057071960302</v>
      </c>
      <c r="GE108" s="14">
        <f t="shared" si="324"/>
        <v>87.284972747790675</v>
      </c>
      <c r="GF108" t="e">
        <f>IF(#REF!=FALSE,FALSE,CH108)</f>
        <v>#REF!</v>
      </c>
      <c r="GG108" t="e">
        <f>IF(#REF!=FALSE,FALSE,AN108)</f>
        <v>#REF!</v>
      </c>
      <c r="GH108" s="13" t="e">
        <f>#REF!</f>
        <v>#REF!</v>
      </c>
      <c r="GI108">
        <f t="shared" si="101"/>
        <v>85.459057071960302</v>
      </c>
      <c r="GJ108">
        <f t="shared" si="102"/>
        <v>6.0449999999999999</v>
      </c>
      <c r="GK108" s="13">
        <f t="shared" si="325"/>
        <v>87.840030182984336</v>
      </c>
      <c r="GL108" t="str">
        <f t="shared" si="326"/>
        <v>PND</v>
      </c>
      <c r="GQ108" s="1"/>
      <c r="GR108" s="1"/>
      <c r="GS108" s="1"/>
      <c r="GT108" s="1"/>
      <c r="GU108" s="1"/>
      <c r="GV108" s="1"/>
      <c r="HA108" s="1"/>
    </row>
    <row r="109" spans="1:209" s="12" customFormat="1">
      <c r="A109" s="12" t="s">
        <v>13</v>
      </c>
      <c r="B109" s="41" t="s">
        <v>12</v>
      </c>
      <c r="C109" s="41" t="s">
        <v>11</v>
      </c>
      <c r="D109" s="12" t="s">
        <v>14</v>
      </c>
      <c r="E109" s="12" t="s">
        <v>10</v>
      </c>
      <c r="F109" s="12" t="s">
        <v>9</v>
      </c>
      <c r="G109" s="12">
        <v>50</v>
      </c>
      <c r="H109" s="12">
        <v>20</v>
      </c>
      <c r="I109" s="12">
        <v>2.5</v>
      </c>
      <c r="J109" s="41">
        <f t="shared" si="270"/>
        <v>50</v>
      </c>
      <c r="K109" s="12" t="s">
        <v>8</v>
      </c>
      <c r="L109" s="12" t="s">
        <v>7</v>
      </c>
      <c r="U109" s="12" t="s">
        <v>6</v>
      </c>
      <c r="V109" s="48">
        <f t="shared" si="331"/>
        <v>1</v>
      </c>
      <c r="W109" s="12" t="s">
        <v>5</v>
      </c>
      <c r="X109" s="12">
        <v>10</v>
      </c>
      <c r="Y109" s="46" t="s">
        <v>4</v>
      </c>
      <c r="Z109" s="46" t="s">
        <v>3</v>
      </c>
      <c r="AA109" s="46"/>
      <c r="AB109" s="46">
        <v>34519</v>
      </c>
      <c r="AC109" s="46">
        <v>34519</v>
      </c>
      <c r="AD109" s="41">
        <f t="shared" si="332"/>
        <v>17.600000000000001</v>
      </c>
      <c r="AE109" s="41">
        <v>17.600000000000001</v>
      </c>
      <c r="AF109" s="41"/>
      <c r="AG109" s="46"/>
      <c r="AH109" s="46"/>
      <c r="AI109" s="12" t="b">
        <v>0</v>
      </c>
      <c r="AJ109" s="42">
        <f t="shared" si="333"/>
        <v>1.7280000000000002</v>
      </c>
      <c r="AK109" s="47">
        <f t="shared" si="334"/>
        <v>1.7280000000000002</v>
      </c>
      <c r="AL109" s="12">
        <v>86.4</v>
      </c>
      <c r="AM109" s="34">
        <f t="shared" si="335"/>
        <v>19.328000000000003</v>
      </c>
      <c r="AN109" s="41">
        <f t="shared" si="355"/>
        <v>966.40000000000009</v>
      </c>
      <c r="AQ109" s="46"/>
      <c r="AS109" s="79">
        <f t="shared" si="336"/>
        <v>1209</v>
      </c>
      <c r="AT109" s="12">
        <v>6045</v>
      </c>
      <c r="AU109" s="12">
        <v>70000</v>
      </c>
      <c r="AV109" s="12">
        <f t="shared" si="337"/>
        <v>6.0449999999999999</v>
      </c>
      <c r="AW109" s="77"/>
      <c r="AX109" s="12">
        <v>6.05</v>
      </c>
      <c r="AY109" s="41">
        <f t="shared" si="277"/>
        <v>0.54089403973509931</v>
      </c>
      <c r="BA109" s="44">
        <v>1710</v>
      </c>
      <c r="BB109" s="64">
        <f t="shared" si="338"/>
        <v>1710</v>
      </c>
      <c r="BC109" s="61">
        <f t="shared" si="339"/>
        <v>10.859669999999999</v>
      </c>
      <c r="BD109" s="34">
        <f t="shared" si="340"/>
        <v>0.52272000000000007</v>
      </c>
      <c r="BE109" s="34"/>
      <c r="BF109" s="78">
        <f t="shared" si="341"/>
        <v>0.52272000000000007</v>
      </c>
      <c r="BG109" s="12">
        <f t="shared" si="342"/>
        <v>10.33695</v>
      </c>
      <c r="BH109" s="42">
        <f t="shared" si="343"/>
        <v>1.38</v>
      </c>
      <c r="BI109" s="41">
        <f t="shared" si="356"/>
        <v>1.38</v>
      </c>
      <c r="BJ109" s="12">
        <v>69</v>
      </c>
      <c r="BL109" s="12">
        <v>10900</v>
      </c>
      <c r="BQ109" s="12">
        <v>750</v>
      </c>
      <c r="BR109" s="12">
        <f t="shared" si="344"/>
        <v>0.75</v>
      </c>
      <c r="BS109" s="77"/>
      <c r="BT109" s="12">
        <v>2.33</v>
      </c>
      <c r="BV109" s="12">
        <v>2050</v>
      </c>
      <c r="BW109" s="61">
        <f t="shared" si="345"/>
        <v>1.6982699999999999</v>
      </c>
      <c r="BX109" s="12">
        <f t="shared" si="346"/>
        <v>0.16077</v>
      </c>
      <c r="BZ109" s="41">
        <f t="shared" si="347"/>
        <v>0.16077</v>
      </c>
      <c r="CA109" s="12">
        <f t="shared" si="348"/>
        <v>1.5374999999999999</v>
      </c>
      <c r="CB109" s="76">
        <f t="shared" si="285"/>
        <v>69.243572084481187</v>
      </c>
      <c r="CC109" s="75" t="b">
        <f t="shared" si="286"/>
        <v>1</v>
      </c>
      <c r="CD109" s="75" t="b">
        <f t="shared" si="287"/>
        <v>1</v>
      </c>
      <c r="CE109" s="74">
        <f t="shared" si="357"/>
        <v>85.126173581182073</v>
      </c>
      <c r="CF109" s="69" t="b">
        <f t="shared" si="288"/>
        <v>1</v>
      </c>
      <c r="CG109" s="69" t="b">
        <f t="shared" si="289"/>
        <v>1</v>
      </c>
      <c r="CH109" s="57">
        <f t="shared" si="290"/>
        <v>92.860099337748352</v>
      </c>
      <c r="CI109" s="47">
        <f t="shared" si="358"/>
        <v>87.593052109181144</v>
      </c>
      <c r="CJ109" s="69" t="b">
        <f t="shared" si="291"/>
        <v>1</v>
      </c>
      <c r="CK109" s="69" t="b">
        <f t="shared" si="292"/>
        <v>1</v>
      </c>
      <c r="CL109" s="73">
        <f t="shared" si="293"/>
        <v>20.138888888888896</v>
      </c>
      <c r="CM109" s="72">
        <f t="shared" si="349"/>
        <v>84.361679498548298</v>
      </c>
      <c r="CN109" s="69" t="b">
        <f t="shared" si="294"/>
        <v>1</v>
      </c>
      <c r="CO109" s="69" t="b">
        <f t="shared" si="295"/>
        <v>1</v>
      </c>
      <c r="CP109" s="12">
        <f t="shared" si="329"/>
        <v>1994</v>
      </c>
      <c r="CQ109" s="46">
        <v>34471</v>
      </c>
      <c r="CR109" s="12">
        <f t="shared" si="350"/>
        <v>48</v>
      </c>
      <c r="CS109" s="12" t="str">
        <f t="shared" si="362"/>
        <v>Pendimethalin</v>
      </c>
      <c r="CT109" s="12">
        <f t="shared" si="363"/>
        <v>20</v>
      </c>
      <c r="CU109" s="34"/>
      <c r="CV109" s="34"/>
      <c r="CW109" s="41">
        <v>0.8</v>
      </c>
      <c r="CX109" s="41">
        <v>13792</v>
      </c>
      <c r="CY109" s="34" t="s">
        <v>2</v>
      </c>
      <c r="CZ109" s="71">
        <v>24</v>
      </c>
      <c r="DA109" s="12">
        <f t="shared" si="299"/>
        <v>966.40000000000009</v>
      </c>
      <c r="DB109" s="64">
        <v>386.36363636363598</v>
      </c>
      <c r="DC109" s="64" t="s">
        <v>1</v>
      </c>
      <c r="DD109" s="60">
        <f t="shared" si="300"/>
        <v>110.336</v>
      </c>
      <c r="DE109" s="60">
        <f t="shared" si="301"/>
        <v>1.44891657502989</v>
      </c>
      <c r="DF109" s="12">
        <f t="shared" si="330"/>
        <v>0.59165615921898251</v>
      </c>
      <c r="DG109" s="12">
        <f t="shared" si="359"/>
        <v>0.23811764705882377</v>
      </c>
      <c r="DH109" s="23">
        <f t="shared" si="351"/>
        <v>0.19232231090839999</v>
      </c>
      <c r="DI109" s="34">
        <f t="shared" si="302"/>
        <v>96.955378114962642</v>
      </c>
      <c r="DJ109" s="70">
        <f t="shared" si="352"/>
        <v>0.3306358894628364</v>
      </c>
      <c r="DK109" s="70">
        <f t="shared" si="303"/>
        <v>6.358865833074695E-2</v>
      </c>
      <c r="DL109" s="70">
        <f t="shared" si="304"/>
        <v>0.26704723113208945</v>
      </c>
      <c r="DM109" s="69">
        <f t="shared" si="353"/>
        <v>87.835043937337971</v>
      </c>
      <c r="DN109" s="69">
        <f t="shared" si="354"/>
        <v>97.416576155131935</v>
      </c>
      <c r="DO109" s="34">
        <v>24.79</v>
      </c>
      <c r="DP109" s="34">
        <f t="shared" si="305"/>
        <v>50.144453642384114</v>
      </c>
      <c r="DQ109" s="34">
        <f t="shared" si="306"/>
        <v>45.548387096774199</v>
      </c>
      <c r="DR109" s="7">
        <f t="shared" si="57"/>
        <v>-2.1674626241956818</v>
      </c>
      <c r="DS109" s="68">
        <f t="shared" si="307"/>
        <v>-21.36</v>
      </c>
      <c r="DT109" s="5">
        <f t="shared" si="105"/>
        <v>1794.9867768595045</v>
      </c>
      <c r="DU109" s="5">
        <f t="shared" si="106"/>
        <v>2421.9681818181793</v>
      </c>
      <c r="DV109" s="5">
        <f t="shared" si="107"/>
        <v>753.38112000000001</v>
      </c>
      <c r="DW109" s="5">
        <f t="shared" si="108"/>
        <v>87.846576472934046</v>
      </c>
      <c r="DX109" s="5">
        <f t="shared" si="109"/>
        <v>87.780945940307589</v>
      </c>
      <c r="DY109" s="5">
        <f t="shared" si="110"/>
        <v>88.197092837661572</v>
      </c>
      <c r="DZ109" s="5">
        <f t="shared" si="111"/>
        <v>0</v>
      </c>
      <c r="EA109" s="5">
        <f t="shared" si="112"/>
        <v>-6.563053262648566E-2</v>
      </c>
      <c r="EB109" s="5">
        <f t="shared" si="113"/>
        <v>0.35051636472749692</v>
      </c>
      <c r="EC109" s="47">
        <f t="shared" si="59"/>
        <v>87.846576472934075</v>
      </c>
      <c r="ED109" s="64">
        <f t="shared" si="114"/>
        <v>9.5398483112582788</v>
      </c>
      <c r="EE109" s="47">
        <f t="shared" si="60"/>
        <v>1.3198216887417207</v>
      </c>
      <c r="EF109" s="47">
        <f t="shared" si="308"/>
        <v>5.2949999999999999</v>
      </c>
      <c r="EG109" s="47">
        <f t="shared" si="309"/>
        <v>897.40000000000009</v>
      </c>
      <c r="EH109" s="47">
        <f t="shared" si="310"/>
        <v>5.4089403973509931E-4</v>
      </c>
      <c r="EI109" s="67">
        <f t="shared" si="311"/>
        <v>0.32410339360877161</v>
      </c>
      <c r="EJ109" s="26">
        <f t="shared" si="115"/>
        <v>0.99571829513294907</v>
      </c>
      <c r="EK109" s="66">
        <f t="shared" si="312"/>
        <v>37.996749003525487</v>
      </c>
      <c r="EL109" s="65">
        <f t="shared" si="313"/>
        <v>90.367387912943869</v>
      </c>
      <c r="EM109" s="62">
        <f t="shared" si="314"/>
        <v>99.790138502195404</v>
      </c>
      <c r="EN109" s="62">
        <f t="shared" si="315"/>
        <v>2</v>
      </c>
      <c r="EO109" s="62">
        <f t="shared" si="316"/>
        <v>1.2098614978045938</v>
      </c>
      <c r="EP109" s="62">
        <f t="shared" si="70"/>
        <v>1.0999370426549848</v>
      </c>
      <c r="EQ109" s="63">
        <f t="shared" si="71"/>
        <v>2.2790266118636545E-2</v>
      </c>
      <c r="ER109" s="63">
        <f t="shared" si="317"/>
        <v>4.3830766461535921E-3</v>
      </c>
      <c r="ES109" s="63">
        <f t="shared" si="73"/>
        <v>1.8407189472482953E-2</v>
      </c>
      <c r="ET109" s="62">
        <f t="shared" si="318"/>
        <v>99.161486714464047</v>
      </c>
      <c r="EU109" s="62">
        <f t="shared" si="319"/>
        <v>99.8219282334491</v>
      </c>
      <c r="EX109" s="23"/>
      <c r="EZ109" s="46">
        <f t="shared" si="320"/>
        <v>34519</v>
      </c>
      <c r="FA109" s="64">
        <f t="shared" si="321"/>
        <v>1710</v>
      </c>
      <c r="FB109" s="64">
        <f t="shared" si="322"/>
        <v>2050</v>
      </c>
      <c r="FC109" s="64" t="b">
        <v>1</v>
      </c>
      <c r="FD109" s="64" t="b">
        <v>1</v>
      </c>
      <c r="FE109" s="20">
        <f t="shared" si="79"/>
        <v>5.0568107613948032E-2</v>
      </c>
      <c r="FF109" s="20">
        <f t="shared" si="80"/>
        <v>282.64462809917359</v>
      </c>
      <c r="FG109" s="20">
        <f t="shared" si="81"/>
        <v>0.10456585365853659</v>
      </c>
      <c r="FH109" s="20">
        <f t="shared" si="82"/>
        <v>879.82832618025748</v>
      </c>
      <c r="FI109" s="59" t="s">
        <v>22</v>
      </c>
      <c r="FJ109" s="58" t="s">
        <v>0</v>
      </c>
      <c r="FK109" s="47">
        <f t="shared" si="323"/>
        <v>84.361679498548298</v>
      </c>
      <c r="FL109" s="57">
        <f t="shared" si="84"/>
        <v>84.361679498548298</v>
      </c>
      <c r="FM109" s="12">
        <f t="shared" si="85"/>
        <v>96.955378114962642</v>
      </c>
      <c r="FN109" s="12">
        <f t="shared" si="86"/>
        <v>87.846576472934075</v>
      </c>
      <c r="FO109" s="1">
        <f t="shared" si="327"/>
        <v>87.846576472934046</v>
      </c>
      <c r="FP109" s="1">
        <f t="shared" si="328"/>
        <v>88.197092837661572</v>
      </c>
      <c r="FQ109" s="12">
        <f t="shared" si="87"/>
        <v>99.790138502195404</v>
      </c>
      <c r="FR109" s="47">
        <f t="shared" si="360"/>
        <v>69.243572084481187</v>
      </c>
      <c r="FS109" s="57">
        <f t="shared" si="89"/>
        <v>69.243572084481187</v>
      </c>
      <c r="FT109" s="12">
        <f t="shared" si="90"/>
        <v>87.835043937337971</v>
      </c>
      <c r="FU109" s="12">
        <f t="shared" si="91"/>
        <v>37.996749003525487</v>
      </c>
      <c r="FV109" s="12">
        <f t="shared" si="92"/>
        <v>99.161486714464047</v>
      </c>
      <c r="FW109" s="47">
        <f t="shared" si="361"/>
        <v>85.126173581182073</v>
      </c>
      <c r="FX109" s="56">
        <f t="shared" si="94"/>
        <v>85.126173581182073</v>
      </c>
      <c r="FY109" s="56">
        <f t="shared" si="95"/>
        <v>97.416576155131935</v>
      </c>
      <c r="FZ109" s="56">
        <f t="shared" si="96"/>
        <v>90.367387912943869</v>
      </c>
      <c r="GA109" s="56">
        <f t="shared" si="97"/>
        <v>99.8219282334491</v>
      </c>
      <c r="GC109" s="12">
        <f t="shared" si="98"/>
        <v>92.860099337748352</v>
      </c>
      <c r="GD109" s="12">
        <f t="shared" si="99"/>
        <v>87.593052109181144</v>
      </c>
      <c r="GE109" s="57">
        <f t="shared" si="324"/>
        <v>84.361679498548298</v>
      </c>
      <c r="GF109" s="12" t="e">
        <f>IF(#REF!=FALSE,FALSE,CH109)</f>
        <v>#REF!</v>
      </c>
      <c r="GG109" s="12" t="e">
        <f>IF(#REF!=FALSE,FALSE,AN109)</f>
        <v>#REF!</v>
      </c>
      <c r="GH109" s="56" t="e">
        <f>#REF!</f>
        <v>#REF!</v>
      </c>
      <c r="GI109" s="12">
        <f t="shared" si="101"/>
        <v>87.593052109181144</v>
      </c>
      <c r="GJ109" s="12">
        <f t="shared" si="102"/>
        <v>6.0449999999999999</v>
      </c>
      <c r="GK109" s="56">
        <f t="shared" si="325"/>
        <v>85.126173581182073</v>
      </c>
      <c r="GL109" s="12" t="str">
        <f t="shared" si="326"/>
        <v>PND</v>
      </c>
    </row>
    <row r="110" spans="1:209">
      <c r="A110" t="s">
        <v>13</v>
      </c>
      <c r="B110" s="21" t="s">
        <v>12</v>
      </c>
      <c r="C110" s="21" t="s">
        <v>11</v>
      </c>
      <c r="D110" t="s">
        <v>18</v>
      </c>
      <c r="E110" t="s">
        <v>10</v>
      </c>
      <c r="F110" t="s">
        <v>9</v>
      </c>
      <c r="G110">
        <v>50</v>
      </c>
      <c r="H110">
        <v>5</v>
      </c>
      <c r="I110">
        <v>2.5</v>
      </c>
      <c r="J110" s="21">
        <f t="shared" si="270"/>
        <v>12.5</v>
      </c>
      <c r="K110" t="s">
        <v>8</v>
      </c>
      <c r="L110" t="s">
        <v>7</v>
      </c>
      <c r="U110" t="s">
        <v>6</v>
      </c>
      <c r="V110" s="53">
        <f t="shared" si="331"/>
        <v>4</v>
      </c>
      <c r="W110" t="s">
        <v>5</v>
      </c>
      <c r="X110">
        <v>10</v>
      </c>
      <c r="Y110" s="52" t="s">
        <v>4</v>
      </c>
      <c r="Z110" s="52" t="s">
        <v>3</v>
      </c>
      <c r="AA110" s="52"/>
      <c r="AB110" s="52">
        <v>34520</v>
      </c>
      <c r="AC110" s="52">
        <v>34520</v>
      </c>
      <c r="AD110" s="21">
        <f t="shared" si="332"/>
        <v>18</v>
      </c>
      <c r="AE110" s="21">
        <v>18</v>
      </c>
      <c r="AF110" s="21"/>
      <c r="AG110" s="52"/>
      <c r="AH110" s="52"/>
      <c r="AI110" t="b">
        <v>0</v>
      </c>
      <c r="AJ110" s="50">
        <f t="shared" si="333"/>
        <v>0.56999999999999995</v>
      </c>
      <c r="AK110" s="16">
        <f t="shared" si="334"/>
        <v>2.2799999999999998</v>
      </c>
      <c r="AL110">
        <v>28.5</v>
      </c>
      <c r="AM110" s="7">
        <f t="shared" si="335"/>
        <v>20.28</v>
      </c>
      <c r="AN110" s="21">
        <f t="shared" si="355"/>
        <v>253.5</v>
      </c>
      <c r="AQ110" s="52"/>
      <c r="AS110" s="45">
        <f t="shared" si="336"/>
        <v>87.399999999999991</v>
      </c>
      <c r="AT110">
        <v>437</v>
      </c>
      <c r="AU110">
        <v>15400</v>
      </c>
      <c r="AV110">
        <f t="shared" si="337"/>
        <v>0.437</v>
      </c>
      <c r="AW110" s="55"/>
      <c r="AX110">
        <v>4.78</v>
      </c>
      <c r="AY110" s="21">
        <f t="shared" si="277"/>
        <v>0.53739644970414213</v>
      </c>
      <c r="BA110" s="51">
        <v>1600</v>
      </c>
      <c r="BB110" s="8">
        <f t="shared" si="338"/>
        <v>1600</v>
      </c>
      <c r="BC110" s="24">
        <f t="shared" si="339"/>
        <v>0.83543000000000012</v>
      </c>
      <c r="BD110" s="7">
        <f t="shared" si="340"/>
        <v>0.13623000000000002</v>
      </c>
      <c r="BE110" s="7"/>
      <c r="BF110" s="43">
        <f t="shared" si="341"/>
        <v>0.13623000000000002</v>
      </c>
      <c r="BG110">
        <f t="shared" si="342"/>
        <v>0.69920000000000004</v>
      </c>
      <c r="BH110" s="50">
        <f t="shared" si="343"/>
        <v>0.156</v>
      </c>
      <c r="BI110" s="21">
        <f t="shared" si="356"/>
        <v>0.624</v>
      </c>
      <c r="BJ110">
        <v>7.8</v>
      </c>
      <c r="BL110">
        <v>8000</v>
      </c>
      <c r="BQ110">
        <v>62.4</v>
      </c>
      <c r="BR110">
        <f t="shared" si="344"/>
        <v>6.2399999999999997E-2</v>
      </c>
      <c r="BS110" s="54"/>
      <c r="BT110">
        <v>3.84</v>
      </c>
      <c r="BV110">
        <v>1030</v>
      </c>
      <c r="BW110" s="24">
        <f t="shared" si="345"/>
        <v>9.4223999999999988E-2</v>
      </c>
      <c r="BX110">
        <f t="shared" si="346"/>
        <v>2.9951999999999996E-2</v>
      </c>
      <c r="BZ110" s="21">
        <f t="shared" si="347"/>
        <v>2.9951999999999996E-2</v>
      </c>
      <c r="CA110">
        <f t="shared" si="348"/>
        <v>6.4271999999999996E-2</v>
      </c>
      <c r="CB110" s="40">
        <f t="shared" si="285"/>
        <v>78.013653380312718</v>
      </c>
      <c r="CC110" s="39" t="b">
        <f t="shared" si="286"/>
        <v>1</v>
      </c>
      <c r="CD110" s="39" t="b">
        <f t="shared" si="287"/>
        <v>1</v>
      </c>
      <c r="CE110" s="38">
        <f t="shared" si="357"/>
        <v>90.807780320366135</v>
      </c>
      <c r="CF110" s="35" t="b">
        <f t="shared" si="288"/>
        <v>1</v>
      </c>
      <c r="CG110" s="35" t="b">
        <f t="shared" si="289"/>
        <v>1</v>
      </c>
      <c r="CH110" s="17">
        <f t="shared" si="290"/>
        <v>96.92307692307692</v>
      </c>
      <c r="CI110" s="16">
        <f t="shared" si="358"/>
        <v>85.720823798626995</v>
      </c>
      <c r="CJ110" s="35" t="b">
        <f t="shared" si="291"/>
        <v>1</v>
      </c>
      <c r="CK110" s="35" t="b">
        <f t="shared" si="292"/>
        <v>1</v>
      </c>
      <c r="CL110" s="37">
        <f t="shared" si="293"/>
        <v>72.631578947368411</v>
      </c>
      <c r="CM110" s="36">
        <f t="shared" si="349"/>
        <v>88.721496714266905</v>
      </c>
      <c r="CN110" s="35" t="b">
        <f t="shared" si="294"/>
        <v>1</v>
      </c>
      <c r="CO110" s="35" t="b">
        <f t="shared" si="295"/>
        <v>1</v>
      </c>
      <c r="CP110">
        <f t="shared" si="329"/>
        <v>1994</v>
      </c>
      <c r="CQ110" s="52">
        <v>34471</v>
      </c>
      <c r="CR110">
        <f t="shared" si="350"/>
        <v>49</v>
      </c>
      <c r="CS110" t="str">
        <f t="shared" si="362"/>
        <v>Pendimethalin</v>
      </c>
      <c r="CT110">
        <f t="shared" si="363"/>
        <v>5</v>
      </c>
      <c r="CU110" s="7"/>
      <c r="CV110" s="7"/>
      <c r="CW110" s="21">
        <v>0.8</v>
      </c>
      <c r="CX110" s="21">
        <v>13792</v>
      </c>
      <c r="CY110" s="7" t="s">
        <v>2</v>
      </c>
      <c r="CZ110" s="33">
        <v>24</v>
      </c>
      <c r="DA110" s="1">
        <f t="shared" si="299"/>
        <v>253.5</v>
      </c>
      <c r="DB110" s="3">
        <v>386.36363636363598</v>
      </c>
      <c r="DC110" s="3" t="s">
        <v>1</v>
      </c>
      <c r="DD110" s="32">
        <f t="shared" si="300"/>
        <v>110.336</v>
      </c>
      <c r="DE110" s="32">
        <f t="shared" si="301"/>
        <v>5.2575001194603583</v>
      </c>
      <c r="DF110">
        <f t="shared" si="330"/>
        <v>0.84019177292700731</v>
      </c>
      <c r="DG110">
        <f t="shared" si="359"/>
        <v>0.32352941176470623</v>
      </c>
      <c r="DH110" s="2">
        <f t="shared" si="351"/>
        <v>0.24444444444444463</v>
      </c>
      <c r="DI110" s="7">
        <f t="shared" si="302"/>
        <v>95.905540466284378</v>
      </c>
      <c r="DJ110" s="31">
        <f t="shared" si="352"/>
        <v>3.4206343282520424E-2</v>
      </c>
      <c r="DK110" s="31">
        <f t="shared" si="303"/>
        <v>8.3615505801716665E-3</v>
      </c>
      <c r="DL110" s="31">
        <f t="shared" si="304"/>
        <v>2.5844792702348757E-2</v>
      </c>
      <c r="DM110" s="30">
        <f t="shared" si="353"/>
        <v>93.86218117876264</v>
      </c>
      <c r="DN110" s="30">
        <f t="shared" si="354"/>
        <v>96.303662370945545</v>
      </c>
      <c r="DO110" s="7">
        <v>24.79</v>
      </c>
      <c r="DP110" s="7">
        <f t="shared" si="305"/>
        <v>52.338461538461537</v>
      </c>
      <c r="DQ110" s="7">
        <f t="shared" si="306"/>
        <v>44.574828375286039</v>
      </c>
      <c r="DR110" s="7">
        <f t="shared" si="57"/>
        <v>-4.4377494474631876</v>
      </c>
      <c r="DS110" s="6">
        <f t="shared" si="307"/>
        <v>-21.36</v>
      </c>
      <c r="DT110" s="5">
        <f t="shared" si="105"/>
        <v>174.77615062761504</v>
      </c>
      <c r="DU110" s="5">
        <f t="shared" si="106"/>
        <v>197.34090909090892</v>
      </c>
      <c r="DV110" s="5">
        <f t="shared" si="107"/>
        <v>76.716831999999997</v>
      </c>
      <c r="DW110" s="5">
        <f t="shared" si="108"/>
        <v>87.54752734427872</v>
      </c>
      <c r="DX110" s="5">
        <f t="shared" si="109"/>
        <v>87.338654665615394</v>
      </c>
      <c r="DY110" s="5">
        <f t="shared" si="110"/>
        <v>89.882416577208147</v>
      </c>
      <c r="DZ110" s="5">
        <f t="shared" si="111"/>
        <v>0</v>
      </c>
      <c r="EA110" s="5">
        <f t="shared" si="112"/>
        <v>-0.20887267866331172</v>
      </c>
      <c r="EB110" s="5">
        <f t="shared" si="113"/>
        <v>2.3348892329294415</v>
      </c>
      <c r="EC110" s="16">
        <f t="shared" si="59"/>
        <v>87.547527344278706</v>
      </c>
      <c r="ED110" s="3">
        <f t="shared" si="114"/>
        <v>0.73139830769230774</v>
      </c>
      <c r="EE110" s="16">
        <f t="shared" si="60"/>
        <v>0.10403169230769238</v>
      </c>
      <c r="EF110" s="16">
        <f t="shared" si="308"/>
        <v>0.37459999999999999</v>
      </c>
      <c r="EG110" s="16">
        <f t="shared" si="309"/>
        <v>245.7</v>
      </c>
      <c r="EH110" s="16">
        <f t="shared" si="310"/>
        <v>5.3739644970414208E-4</v>
      </c>
      <c r="EI110" s="20">
        <f t="shared" si="311"/>
        <v>2.8286205303229214E-2</v>
      </c>
      <c r="EJ110" s="26">
        <f t="shared" si="115"/>
        <v>7.5745487004463166E-2</v>
      </c>
      <c r="EK110" s="29">
        <f t="shared" si="312"/>
        <v>79.236434483425668</v>
      </c>
      <c r="EL110" s="28">
        <f t="shared" si="313"/>
        <v>89.16683538265687</v>
      </c>
      <c r="EM110" s="25">
        <f t="shared" si="314"/>
        <v>100.32974233551525</v>
      </c>
      <c r="EN110" s="25">
        <f t="shared" si="315"/>
        <v>2</v>
      </c>
      <c r="EO110" s="25">
        <f t="shared" si="316"/>
        <v>0.67025766448475133</v>
      </c>
      <c r="EP110" s="25">
        <f t="shared" si="70"/>
        <v>0.81869265569244687</v>
      </c>
      <c r="EQ110" s="26">
        <f t="shared" si="71"/>
        <v>-2.7547663935951331E-3</v>
      </c>
      <c r="ER110" s="26">
        <f t="shared" si="317"/>
        <v>-6.7338734065658856E-4</v>
      </c>
      <c r="ES110" s="26">
        <f t="shared" si="73"/>
        <v>-2.0813790529385446E-3</v>
      </c>
      <c r="ET110" s="25">
        <f t="shared" si="318"/>
        <v>100.4943017989111</v>
      </c>
      <c r="EU110" s="25">
        <f t="shared" si="319"/>
        <v>100.29768007050038</v>
      </c>
      <c r="EV110" s="1"/>
      <c r="EW110" s="1"/>
      <c r="EX110" s="2"/>
      <c r="EY110" s="1"/>
      <c r="EZ110" s="22">
        <f t="shared" si="320"/>
        <v>34520</v>
      </c>
      <c r="FA110" s="3">
        <f t="shared" si="321"/>
        <v>1600</v>
      </c>
      <c r="FB110" s="3">
        <f t="shared" si="322"/>
        <v>1030</v>
      </c>
      <c r="FC110" s="3" t="b">
        <v>1</v>
      </c>
      <c r="FD110" s="3" t="b">
        <v>1</v>
      </c>
      <c r="FE110" s="20">
        <f t="shared" si="79"/>
        <v>0.19483695652173916</v>
      </c>
      <c r="FF110" s="20">
        <f t="shared" si="80"/>
        <v>334.7280334728033</v>
      </c>
      <c r="FG110" s="20">
        <f t="shared" si="81"/>
        <v>0.46601941747572811</v>
      </c>
      <c r="FH110" s="20">
        <f t="shared" si="82"/>
        <v>268.22916666666669</v>
      </c>
      <c r="FI110" s="19" t="s">
        <v>21</v>
      </c>
      <c r="FJ110" s="18" t="s">
        <v>0</v>
      </c>
      <c r="FK110" s="16">
        <f t="shared" si="323"/>
        <v>88.721496714266905</v>
      </c>
      <c r="FL110" s="17">
        <f t="shared" si="84"/>
        <v>88.721496714266905</v>
      </c>
      <c r="FM110" s="1">
        <f t="shared" si="85"/>
        <v>95.905540466284378</v>
      </c>
      <c r="FN110" s="1">
        <f t="shared" si="86"/>
        <v>87.547527344278706</v>
      </c>
      <c r="FO110" s="1">
        <f t="shared" si="327"/>
        <v>87.54752734427872</v>
      </c>
      <c r="FP110" s="1">
        <f t="shared" si="328"/>
        <v>89.882416577208147</v>
      </c>
      <c r="FQ110" s="1">
        <f t="shared" si="87"/>
        <v>100.32974233551525</v>
      </c>
      <c r="FR110" s="16">
        <f t="shared" si="360"/>
        <v>78.013653380312718</v>
      </c>
      <c r="FS110" s="17">
        <f t="shared" si="89"/>
        <v>78.013653380312718</v>
      </c>
      <c r="FT110" s="1">
        <f t="shared" si="90"/>
        <v>93.86218117876264</v>
      </c>
      <c r="FU110" s="1">
        <f t="shared" si="91"/>
        <v>79.236434483425668</v>
      </c>
      <c r="FV110" s="1">
        <f t="shared" si="92"/>
        <v>100.4943017989111</v>
      </c>
      <c r="FW110" s="16">
        <f t="shared" si="361"/>
        <v>90.807780320366135</v>
      </c>
      <c r="FX110" s="15">
        <f t="shared" si="94"/>
        <v>90.807780320366135</v>
      </c>
      <c r="FY110" s="15">
        <f t="shared" si="95"/>
        <v>96.303662370945545</v>
      </c>
      <c r="FZ110" s="15">
        <f t="shared" si="96"/>
        <v>89.16683538265687</v>
      </c>
      <c r="GA110" s="15">
        <f t="shared" si="97"/>
        <v>100.29768007050038</v>
      </c>
      <c r="GC110">
        <f t="shared" si="98"/>
        <v>96.92307692307692</v>
      </c>
      <c r="GD110">
        <f t="shared" si="99"/>
        <v>85.720823798626995</v>
      </c>
      <c r="GE110" s="14">
        <f t="shared" si="324"/>
        <v>88.721496714266905</v>
      </c>
      <c r="GF110" t="e">
        <f>IF(#REF!=FALSE,FALSE,CH110)</f>
        <v>#REF!</v>
      </c>
      <c r="GG110" t="e">
        <f>IF(#REF!=FALSE,FALSE,AN110)</f>
        <v>#REF!</v>
      </c>
      <c r="GH110" s="13" t="e">
        <f>#REF!</f>
        <v>#REF!</v>
      </c>
      <c r="GI110">
        <f t="shared" si="101"/>
        <v>85.720823798626995</v>
      </c>
      <c r="GJ110">
        <f t="shared" si="102"/>
        <v>0.437</v>
      </c>
      <c r="GK110" s="13">
        <f t="shared" si="325"/>
        <v>90.807780320366135</v>
      </c>
      <c r="GL110" t="str">
        <f t="shared" si="326"/>
        <v>PND</v>
      </c>
      <c r="GQ110" s="1"/>
      <c r="GR110" s="1"/>
      <c r="GS110" s="1"/>
      <c r="GT110" s="1"/>
      <c r="GU110" s="1"/>
      <c r="GV110" s="1"/>
      <c r="HA110" s="1"/>
    </row>
    <row r="111" spans="1:209">
      <c r="A111" t="s">
        <v>13</v>
      </c>
      <c r="B111" s="21" t="s">
        <v>12</v>
      </c>
      <c r="C111" s="21" t="s">
        <v>11</v>
      </c>
      <c r="D111" t="s">
        <v>16</v>
      </c>
      <c r="E111" t="s">
        <v>10</v>
      </c>
      <c r="F111" t="s">
        <v>9</v>
      </c>
      <c r="G111">
        <v>50</v>
      </c>
      <c r="H111">
        <v>10</v>
      </c>
      <c r="I111">
        <v>2.5</v>
      </c>
      <c r="J111" s="21">
        <f t="shared" si="270"/>
        <v>25</v>
      </c>
      <c r="K111" t="s">
        <v>8</v>
      </c>
      <c r="L111" t="s">
        <v>7</v>
      </c>
      <c r="U111" t="s">
        <v>6</v>
      </c>
      <c r="V111" s="53">
        <f t="shared" si="331"/>
        <v>2</v>
      </c>
      <c r="W111" t="s">
        <v>5</v>
      </c>
      <c r="X111">
        <v>10</v>
      </c>
      <c r="Y111" s="52" t="s">
        <v>4</v>
      </c>
      <c r="Z111" s="52" t="s">
        <v>3</v>
      </c>
      <c r="AA111" s="52"/>
      <c r="AB111" s="52">
        <v>34520</v>
      </c>
      <c r="AC111" s="52">
        <v>34520</v>
      </c>
      <c r="AD111" s="21">
        <f t="shared" si="332"/>
        <v>18</v>
      </c>
      <c r="AE111" s="21">
        <v>18</v>
      </c>
      <c r="AF111" s="21"/>
      <c r="AG111" s="52"/>
      <c r="AH111" s="52"/>
      <c r="AI111" t="b">
        <v>0</v>
      </c>
      <c r="AJ111" s="50">
        <f t="shared" si="333"/>
        <v>0.56999999999999995</v>
      </c>
      <c r="AK111" s="16">
        <f t="shared" si="334"/>
        <v>1.1399999999999999</v>
      </c>
      <c r="AL111">
        <v>28.5</v>
      </c>
      <c r="AM111" s="7">
        <f t="shared" si="335"/>
        <v>19.14</v>
      </c>
      <c r="AN111" s="21">
        <f t="shared" si="355"/>
        <v>478.5</v>
      </c>
      <c r="AQ111" s="52"/>
      <c r="AS111" s="45">
        <f t="shared" si="336"/>
        <v>87.399999999999991</v>
      </c>
      <c r="AT111">
        <v>437</v>
      </c>
      <c r="AU111">
        <v>15400</v>
      </c>
      <c r="AV111">
        <f t="shared" si="337"/>
        <v>0.437</v>
      </c>
      <c r="AW111" s="55"/>
      <c r="AX111">
        <v>4.78</v>
      </c>
      <c r="AY111" s="21">
        <f t="shared" si="277"/>
        <v>0.28470219435736682</v>
      </c>
      <c r="BA111" s="51">
        <v>1600</v>
      </c>
      <c r="BB111" s="8">
        <f t="shared" si="338"/>
        <v>1600</v>
      </c>
      <c r="BC111" s="24">
        <f t="shared" si="339"/>
        <v>0.83543000000000012</v>
      </c>
      <c r="BD111" s="7">
        <f t="shared" si="340"/>
        <v>0.13623000000000002</v>
      </c>
      <c r="BE111" s="7"/>
      <c r="BF111" s="43">
        <f t="shared" si="341"/>
        <v>0.13623000000000002</v>
      </c>
      <c r="BG111">
        <f t="shared" si="342"/>
        <v>0.69920000000000004</v>
      </c>
      <c r="BH111" s="50">
        <f t="shared" si="343"/>
        <v>1.44E-2</v>
      </c>
      <c r="BI111" s="21">
        <f t="shared" si="356"/>
        <v>2.8799999999999999E-2</v>
      </c>
      <c r="BJ111">
        <v>0.72</v>
      </c>
      <c r="BL111">
        <v>2890</v>
      </c>
      <c r="BQ111">
        <v>2.08</v>
      </c>
      <c r="BR111">
        <f t="shared" si="344"/>
        <v>2.0800000000000003E-3</v>
      </c>
      <c r="BS111" s="54"/>
      <c r="BT111">
        <v>2.17</v>
      </c>
      <c r="BV111">
        <v>820</v>
      </c>
      <c r="BW111" s="24">
        <f t="shared" si="345"/>
        <v>3.2680000000000001E-3</v>
      </c>
      <c r="BX111">
        <f t="shared" si="346"/>
        <v>1.5624E-3</v>
      </c>
      <c r="BZ111" s="21">
        <f t="shared" si="347"/>
        <v>1.5624E-3</v>
      </c>
      <c r="CA111">
        <f t="shared" si="348"/>
        <v>1.7056E-3</v>
      </c>
      <c r="CB111" s="40">
        <f t="shared" si="285"/>
        <v>98.853116053732663</v>
      </c>
      <c r="CC111" s="39" t="b">
        <f t="shared" si="286"/>
        <v>1</v>
      </c>
      <c r="CD111" s="39" t="b">
        <f t="shared" si="287"/>
        <v>1</v>
      </c>
      <c r="CE111" s="38">
        <f t="shared" si="357"/>
        <v>99.756064073226554</v>
      </c>
      <c r="CF111" s="35" t="b">
        <f t="shared" si="288"/>
        <v>1</v>
      </c>
      <c r="CG111" s="35" t="b">
        <f t="shared" si="289"/>
        <v>1</v>
      </c>
      <c r="CH111" s="17">
        <f t="shared" si="290"/>
        <v>99.849529780564268</v>
      </c>
      <c r="CI111" s="16">
        <f t="shared" si="358"/>
        <v>99.524027459954226</v>
      </c>
      <c r="CJ111" s="35" t="b">
        <f t="shared" si="291"/>
        <v>1</v>
      </c>
      <c r="CK111" s="35" t="b">
        <f t="shared" si="292"/>
        <v>1</v>
      </c>
      <c r="CL111" s="37">
        <f t="shared" si="293"/>
        <v>97.473684210526329</v>
      </c>
      <c r="CM111" s="36">
        <f t="shared" si="349"/>
        <v>99.608824198317024</v>
      </c>
      <c r="CN111" s="35" t="b">
        <f t="shared" si="294"/>
        <v>1</v>
      </c>
      <c r="CO111" s="35" t="b">
        <f t="shared" si="295"/>
        <v>1</v>
      </c>
      <c r="CP111">
        <f t="shared" si="329"/>
        <v>1994</v>
      </c>
      <c r="CQ111" s="52">
        <v>34471</v>
      </c>
      <c r="CR111">
        <f t="shared" si="350"/>
        <v>49</v>
      </c>
      <c r="CS111" t="str">
        <f t="shared" si="362"/>
        <v>Pendimethalin</v>
      </c>
      <c r="CT111">
        <f t="shared" si="363"/>
        <v>10</v>
      </c>
      <c r="CU111" s="7"/>
      <c r="CV111" s="7"/>
      <c r="CW111" s="21">
        <v>0.8</v>
      </c>
      <c r="CX111" s="21">
        <v>13792</v>
      </c>
      <c r="CY111" s="7" t="s">
        <v>2</v>
      </c>
      <c r="CZ111" s="33">
        <v>24</v>
      </c>
      <c r="DA111" s="1">
        <f t="shared" si="299"/>
        <v>478.5</v>
      </c>
      <c r="DB111" s="3">
        <v>386.36363636363598</v>
      </c>
      <c r="DC111" s="3" t="s">
        <v>1</v>
      </c>
      <c r="DD111" s="32">
        <f t="shared" si="300"/>
        <v>110.336</v>
      </c>
      <c r="DE111" s="32">
        <f t="shared" si="301"/>
        <v>9.9239203438334567</v>
      </c>
      <c r="DF111">
        <f t="shared" si="330"/>
        <v>0.9084577726196531</v>
      </c>
      <c r="DG111">
        <f t="shared" si="359"/>
        <v>0.89592760180995545</v>
      </c>
      <c r="DH111" s="2">
        <f t="shared" si="351"/>
        <v>0.4725536992840097</v>
      </c>
      <c r="DI111" s="7">
        <f t="shared" si="302"/>
        <v>103.31512947428187</v>
      </c>
      <c r="DJ111" s="31">
        <f t="shared" si="352"/>
        <v>-2.769558616699307E-2</v>
      </c>
      <c r="DK111" s="31">
        <f t="shared" si="303"/>
        <v>-1.3087651697051625E-2</v>
      </c>
      <c r="DL111" s="31">
        <f t="shared" si="304"/>
        <v>-1.4607934469941445E-2</v>
      </c>
      <c r="DM111" s="30">
        <f t="shared" si="353"/>
        <v>109.60702613011202</v>
      </c>
      <c r="DN111" s="30">
        <f t="shared" si="354"/>
        <v>102.08923547911061</v>
      </c>
      <c r="DO111" s="7">
        <v>24.79</v>
      </c>
      <c r="DP111" s="7">
        <f t="shared" si="305"/>
        <v>53.918746081504707</v>
      </c>
      <c r="DQ111" s="7">
        <f t="shared" si="306"/>
        <v>51.752494279176197</v>
      </c>
      <c r="DR111" s="7">
        <f t="shared" si="57"/>
        <v>-5.7861108863990252</v>
      </c>
      <c r="DS111" s="6">
        <f t="shared" si="307"/>
        <v>-21.36</v>
      </c>
      <c r="DT111" s="5">
        <f t="shared" si="105"/>
        <v>174.77615062761504</v>
      </c>
      <c r="DU111" s="5">
        <f t="shared" si="106"/>
        <v>197.34090909090892</v>
      </c>
      <c r="DV111" s="5">
        <f t="shared" si="107"/>
        <v>76.716831999999997</v>
      </c>
      <c r="DW111" s="5">
        <f t="shared" si="108"/>
        <v>99.577105732384837</v>
      </c>
      <c r="DX111" s="5">
        <f t="shared" si="109"/>
        <v>99.571036547832264</v>
      </c>
      <c r="DY111" s="5">
        <f t="shared" si="110"/>
        <v>99.64495028608691</v>
      </c>
      <c r="DZ111" s="5">
        <f t="shared" si="111"/>
        <v>0</v>
      </c>
      <c r="EA111" s="5">
        <f t="shared" si="112"/>
        <v>-6.0691845525582266E-3</v>
      </c>
      <c r="EB111" s="5">
        <f t="shared" si="113"/>
        <v>6.7844553702087751E-2</v>
      </c>
      <c r="EC111" s="16">
        <f t="shared" si="59"/>
        <v>99.577105732384823</v>
      </c>
      <c r="ED111" s="3">
        <f t="shared" si="114"/>
        <v>0.83189701442006259</v>
      </c>
      <c r="EE111" s="16">
        <f t="shared" si="60"/>
        <v>3.5329855799375309E-3</v>
      </c>
      <c r="EF111" s="16">
        <f t="shared" si="308"/>
        <v>0.43491999999999997</v>
      </c>
      <c r="EG111" s="16">
        <f t="shared" si="309"/>
        <v>477.78</v>
      </c>
      <c r="EH111" s="16">
        <f t="shared" si="310"/>
        <v>2.847021943573668E-4</v>
      </c>
      <c r="EI111" s="20">
        <f t="shared" si="311"/>
        <v>1.7961361338798461E-3</v>
      </c>
      <c r="EJ111" s="26">
        <f t="shared" si="115"/>
        <v>1.7368494460576849E-3</v>
      </c>
      <c r="EK111" s="29">
        <f t="shared" si="312"/>
        <v>98.681541412405593</v>
      </c>
      <c r="EL111" s="28">
        <f t="shared" si="313"/>
        <v>99.751594758859028</v>
      </c>
      <c r="EM111" s="25">
        <f t="shared" si="314"/>
        <v>100.15505705500318</v>
      </c>
      <c r="EN111" s="25">
        <f t="shared" si="315"/>
        <v>2</v>
      </c>
      <c r="EO111" s="25">
        <f t="shared" si="316"/>
        <v>0.84494294499681066</v>
      </c>
      <c r="EP111" s="25">
        <f t="shared" si="70"/>
        <v>0.91920778118813307</v>
      </c>
      <c r="EQ111" s="26">
        <f t="shared" si="71"/>
        <v>-1.2953931546130892E-3</v>
      </c>
      <c r="ER111" s="26">
        <f t="shared" si="317"/>
        <v>-6.1214282723959863E-4</v>
      </c>
      <c r="ES111" s="26">
        <f t="shared" si="73"/>
        <v>-6.8325032737349056E-4</v>
      </c>
      <c r="ET111" s="25">
        <f t="shared" si="318"/>
        <v>100.44934509817192</v>
      </c>
      <c r="EU111" s="25">
        <f t="shared" si="319"/>
        <v>100.09771886833146</v>
      </c>
      <c r="EV111" s="1"/>
      <c r="EW111" s="1"/>
      <c r="EX111" s="2"/>
      <c r="EY111" s="1"/>
      <c r="EZ111" s="22">
        <f t="shared" si="320"/>
        <v>34520</v>
      </c>
      <c r="FA111" s="3">
        <f t="shared" si="321"/>
        <v>1600</v>
      </c>
      <c r="FB111" s="3">
        <f t="shared" si="322"/>
        <v>820</v>
      </c>
      <c r="FC111" s="3" t="b">
        <v>1</v>
      </c>
      <c r="FD111" s="3" t="b">
        <v>1</v>
      </c>
      <c r="FE111" s="20">
        <f t="shared" si="79"/>
        <v>0.19483695652173916</v>
      </c>
      <c r="FF111" s="20">
        <f t="shared" si="80"/>
        <v>334.7280334728033</v>
      </c>
      <c r="FG111" s="20">
        <f t="shared" si="81"/>
        <v>0.91604127579737338</v>
      </c>
      <c r="FH111" s="20">
        <f t="shared" si="82"/>
        <v>377.88018433179724</v>
      </c>
      <c r="FI111" s="19" t="s">
        <v>20</v>
      </c>
      <c r="FJ111" s="18" t="s">
        <v>0</v>
      </c>
      <c r="FK111" s="16">
        <f t="shared" si="323"/>
        <v>99.608824198317024</v>
      </c>
      <c r="FL111" s="17">
        <f t="shared" si="84"/>
        <v>99.608824198317024</v>
      </c>
      <c r="FM111" s="1">
        <f t="shared" si="85"/>
        <v>103.31512947428187</v>
      </c>
      <c r="FN111" s="1">
        <f t="shared" si="86"/>
        <v>99.577105732384823</v>
      </c>
      <c r="FO111" s="1">
        <f t="shared" si="327"/>
        <v>99.577105732384837</v>
      </c>
      <c r="FP111" s="1">
        <f t="shared" si="328"/>
        <v>99.64495028608691</v>
      </c>
      <c r="FQ111" s="1">
        <f t="shared" si="87"/>
        <v>100.15505705500318</v>
      </c>
      <c r="FR111" s="16">
        <f t="shared" si="360"/>
        <v>98.853116053732663</v>
      </c>
      <c r="FS111" s="17">
        <f t="shared" si="89"/>
        <v>98.853116053732663</v>
      </c>
      <c r="FT111" s="1">
        <f t="shared" si="90"/>
        <v>109.60702613011202</v>
      </c>
      <c r="FU111" s="1">
        <f t="shared" si="91"/>
        <v>98.681541412405593</v>
      </c>
      <c r="FV111" s="1">
        <f t="shared" si="92"/>
        <v>100.44934509817192</v>
      </c>
      <c r="FW111" s="16">
        <f t="shared" si="361"/>
        <v>99.756064073226554</v>
      </c>
      <c r="FX111" s="15">
        <f t="shared" si="94"/>
        <v>99.756064073226554</v>
      </c>
      <c r="FY111" s="15">
        <f t="shared" si="95"/>
        <v>102.08923547911061</v>
      </c>
      <c r="FZ111" s="15">
        <f t="shared" si="96"/>
        <v>99.751594758859028</v>
      </c>
      <c r="GA111" s="15">
        <f t="shared" si="97"/>
        <v>100.09771886833146</v>
      </c>
      <c r="GC111">
        <f t="shared" si="98"/>
        <v>99.849529780564268</v>
      </c>
      <c r="GD111">
        <f t="shared" si="99"/>
        <v>99.524027459954226</v>
      </c>
      <c r="GE111" s="14">
        <f t="shared" si="324"/>
        <v>99.608824198317024</v>
      </c>
      <c r="GF111" t="e">
        <f>IF(#REF!=FALSE,FALSE,CH111)</f>
        <v>#REF!</v>
      </c>
      <c r="GG111" t="e">
        <f>IF(#REF!=FALSE,FALSE,AN111)</f>
        <v>#REF!</v>
      </c>
      <c r="GH111" s="13" t="e">
        <f>#REF!</f>
        <v>#REF!</v>
      </c>
      <c r="GI111">
        <f t="shared" si="101"/>
        <v>99.524027459954226</v>
      </c>
      <c r="GJ111">
        <f t="shared" si="102"/>
        <v>0.437</v>
      </c>
      <c r="GK111" s="13">
        <f t="shared" si="325"/>
        <v>99.756064073226554</v>
      </c>
      <c r="GL111" t="str">
        <f t="shared" si="326"/>
        <v>PND</v>
      </c>
      <c r="GQ111" s="1"/>
      <c r="GR111" s="1"/>
      <c r="GS111" s="1"/>
      <c r="GT111" s="1"/>
      <c r="GU111" s="1"/>
      <c r="GV111" s="1"/>
      <c r="HA111" s="1"/>
    </row>
    <row r="112" spans="1:209" s="12" customFormat="1">
      <c r="A112" s="12" t="s">
        <v>13</v>
      </c>
      <c r="B112" s="41" t="s">
        <v>12</v>
      </c>
      <c r="C112" s="41" t="s">
        <v>11</v>
      </c>
      <c r="D112" s="12" t="s">
        <v>14</v>
      </c>
      <c r="E112" s="12" t="s">
        <v>10</v>
      </c>
      <c r="F112" s="12" t="s">
        <v>9</v>
      </c>
      <c r="G112" s="12">
        <v>50</v>
      </c>
      <c r="H112" s="12">
        <v>20</v>
      </c>
      <c r="I112" s="12">
        <v>2.5</v>
      </c>
      <c r="J112" s="41">
        <f t="shared" si="270"/>
        <v>50</v>
      </c>
      <c r="K112" s="12" t="s">
        <v>8</v>
      </c>
      <c r="L112" s="12" t="s">
        <v>7</v>
      </c>
      <c r="U112" s="12" t="s">
        <v>6</v>
      </c>
      <c r="V112" s="48">
        <f t="shared" si="331"/>
        <v>1</v>
      </c>
      <c r="W112" s="12" t="s">
        <v>5</v>
      </c>
      <c r="X112" s="12">
        <v>10</v>
      </c>
      <c r="Y112" s="46" t="s">
        <v>4</v>
      </c>
      <c r="Z112" s="46" t="s">
        <v>3</v>
      </c>
      <c r="AA112" s="46"/>
      <c r="AB112" s="46">
        <v>34520</v>
      </c>
      <c r="AC112" s="46">
        <v>34520</v>
      </c>
      <c r="AD112" s="41">
        <f t="shared" si="332"/>
        <v>18</v>
      </c>
      <c r="AE112" s="41">
        <v>18</v>
      </c>
      <c r="AF112" s="41"/>
      <c r="AG112" s="46"/>
      <c r="AH112" s="46"/>
      <c r="AI112" s="12" t="b">
        <v>0</v>
      </c>
      <c r="AJ112" s="42">
        <f t="shared" si="333"/>
        <v>0.56999999999999995</v>
      </c>
      <c r="AK112" s="47">
        <f t="shared" si="334"/>
        <v>0.56999999999999995</v>
      </c>
      <c r="AL112" s="12">
        <v>28.5</v>
      </c>
      <c r="AM112" s="34">
        <f t="shared" si="335"/>
        <v>18.57</v>
      </c>
      <c r="AN112" s="41">
        <f t="shared" si="355"/>
        <v>928.5</v>
      </c>
      <c r="AQ112" s="46"/>
      <c r="AS112" s="79">
        <f t="shared" si="336"/>
        <v>87.399999999999991</v>
      </c>
      <c r="AT112" s="12">
        <v>437</v>
      </c>
      <c r="AU112" s="12">
        <v>15400</v>
      </c>
      <c r="AV112" s="12">
        <f t="shared" si="337"/>
        <v>0.437</v>
      </c>
      <c r="AW112" s="77"/>
      <c r="AX112" s="12">
        <v>4.78</v>
      </c>
      <c r="AY112" s="41">
        <f t="shared" si="277"/>
        <v>0.14672051696284333</v>
      </c>
      <c r="BA112" s="44">
        <v>1600</v>
      </c>
      <c r="BB112" s="64">
        <f t="shared" si="338"/>
        <v>1600</v>
      </c>
      <c r="BC112" s="61">
        <f t="shared" si="339"/>
        <v>0.83543000000000012</v>
      </c>
      <c r="BD112" s="34">
        <f t="shared" si="340"/>
        <v>0.13623000000000002</v>
      </c>
      <c r="BE112" s="34"/>
      <c r="BF112" s="78">
        <f t="shared" si="341"/>
        <v>0.13623000000000002</v>
      </c>
      <c r="BG112" s="12">
        <f t="shared" si="342"/>
        <v>0.69920000000000004</v>
      </c>
      <c r="BH112" s="42">
        <f t="shared" si="343"/>
        <v>1.1200000000000002E-2</v>
      </c>
      <c r="BI112" s="41">
        <f t="shared" si="356"/>
        <v>1.1200000000000002E-2</v>
      </c>
      <c r="BJ112" s="12">
        <v>0.56000000000000005</v>
      </c>
      <c r="BL112" s="12">
        <v>3660</v>
      </c>
      <c r="BQ112" s="12">
        <v>2.0499999999999998</v>
      </c>
      <c r="BR112" s="12">
        <f t="shared" si="344"/>
        <v>2.0499999999999997E-3</v>
      </c>
      <c r="BS112" s="77"/>
      <c r="BT112" s="12">
        <v>1.33</v>
      </c>
      <c r="BV112" s="12">
        <v>900</v>
      </c>
      <c r="BW112" s="61">
        <f t="shared" si="345"/>
        <v>2.5897999999999997E-3</v>
      </c>
      <c r="BX112" s="12">
        <f t="shared" si="346"/>
        <v>7.4480000000000011E-4</v>
      </c>
      <c r="BZ112" s="41">
        <f t="shared" si="347"/>
        <v>7.4480000000000011E-4</v>
      </c>
      <c r="CA112" s="12">
        <f t="shared" si="348"/>
        <v>1.8449999999999999E-3</v>
      </c>
      <c r="CB112" s="76">
        <f t="shared" si="285"/>
        <v>99.453277545327765</v>
      </c>
      <c r="CC112" s="75" t="b">
        <f t="shared" si="286"/>
        <v>1</v>
      </c>
      <c r="CD112" s="75" t="b">
        <f t="shared" si="287"/>
        <v>1</v>
      </c>
      <c r="CE112" s="74">
        <f t="shared" si="357"/>
        <v>99.736127002288328</v>
      </c>
      <c r="CF112" s="69" t="b">
        <f t="shared" si="288"/>
        <v>1</v>
      </c>
      <c r="CG112" s="69" t="b">
        <f t="shared" si="289"/>
        <v>1</v>
      </c>
      <c r="CH112" s="57">
        <f t="shared" si="290"/>
        <v>99.93968766828219</v>
      </c>
      <c r="CI112" s="47">
        <f t="shared" si="358"/>
        <v>99.530892448512589</v>
      </c>
      <c r="CJ112" s="69" t="b">
        <f t="shared" si="291"/>
        <v>1</v>
      </c>
      <c r="CK112" s="69" t="b">
        <f t="shared" si="292"/>
        <v>1</v>
      </c>
      <c r="CL112" s="73">
        <f t="shared" si="293"/>
        <v>98.035087719298247</v>
      </c>
      <c r="CM112" s="72">
        <f t="shared" si="349"/>
        <v>99.690003950061651</v>
      </c>
      <c r="CN112" s="69" t="b">
        <f t="shared" si="294"/>
        <v>1</v>
      </c>
      <c r="CO112" s="69" t="b">
        <f t="shared" si="295"/>
        <v>1</v>
      </c>
      <c r="CP112" s="12">
        <f t="shared" si="329"/>
        <v>1994</v>
      </c>
      <c r="CQ112" s="46">
        <v>34471</v>
      </c>
      <c r="CR112" s="12">
        <f t="shared" si="350"/>
        <v>49</v>
      </c>
      <c r="CS112" s="12" t="str">
        <f t="shared" si="362"/>
        <v>Pendimethalin</v>
      </c>
      <c r="CT112" s="12">
        <f t="shared" si="363"/>
        <v>20</v>
      </c>
      <c r="CU112" s="34"/>
      <c r="CV112" s="34"/>
      <c r="CW112" s="41">
        <v>0.8</v>
      </c>
      <c r="CX112" s="41">
        <v>13792</v>
      </c>
      <c r="CY112" s="34" t="s">
        <v>2</v>
      </c>
      <c r="CZ112" s="71">
        <v>24</v>
      </c>
      <c r="DA112" s="12">
        <f t="shared" si="299"/>
        <v>928.5</v>
      </c>
      <c r="DB112" s="64">
        <v>386.36363636363598</v>
      </c>
      <c r="DC112" s="64" t="s">
        <v>1</v>
      </c>
      <c r="DD112" s="60">
        <f t="shared" si="300"/>
        <v>110.336</v>
      </c>
      <c r="DE112" s="60">
        <f t="shared" si="301"/>
        <v>19.256760792579655</v>
      </c>
      <c r="DF112" s="12">
        <f t="shared" si="330"/>
        <v>0.95063376567262847</v>
      </c>
      <c r="DG112" s="12">
        <f t="shared" si="359"/>
        <v>0.70703012912482155</v>
      </c>
      <c r="DH112" s="23">
        <f t="shared" si="351"/>
        <v>0.41418725836275033</v>
      </c>
      <c r="DI112" s="34">
        <f t="shared" si="302"/>
        <v>101.87295299209993</v>
      </c>
      <c r="DJ112" s="70">
        <f t="shared" si="352"/>
        <v>-1.5647211181900447E-2</v>
      </c>
      <c r="DK112" s="70">
        <f t="shared" si="303"/>
        <v>-6.4808755004543174E-3</v>
      </c>
      <c r="DL112" s="70">
        <f t="shared" si="304"/>
        <v>-9.1663356814461298E-3</v>
      </c>
      <c r="DM112" s="69">
        <f t="shared" si="353"/>
        <v>104.75730419177442</v>
      </c>
      <c r="DN112" s="69">
        <f t="shared" si="354"/>
        <v>101.31097478281552</v>
      </c>
      <c r="DO112" s="34">
        <v>24.79</v>
      </c>
      <c r="DP112" s="34">
        <f t="shared" si="305"/>
        <v>53.967431340872388</v>
      </c>
      <c r="DQ112" s="34">
        <f t="shared" si="306"/>
        <v>51.756064073226547</v>
      </c>
      <c r="DR112" s="7">
        <f t="shared" si="57"/>
        <v>-7.2805424219990202</v>
      </c>
      <c r="DS112" s="68">
        <f t="shared" si="307"/>
        <v>-21.36</v>
      </c>
      <c r="DT112" s="5">
        <f t="shared" si="105"/>
        <v>174.77615062761504</v>
      </c>
      <c r="DU112" s="5">
        <f t="shared" si="106"/>
        <v>197.34090909090892</v>
      </c>
      <c r="DV112" s="5">
        <f t="shared" si="107"/>
        <v>76.716831999999997</v>
      </c>
      <c r="DW112" s="5">
        <f t="shared" si="108"/>
        <v>99.597552938067921</v>
      </c>
      <c r="DX112" s="5">
        <f t="shared" si="109"/>
        <v>99.589930707822873</v>
      </c>
      <c r="DY112" s="5">
        <f t="shared" si="110"/>
        <v>99.682758257614736</v>
      </c>
      <c r="DZ112" s="5">
        <f t="shared" si="111"/>
        <v>0</v>
      </c>
      <c r="EA112" s="5">
        <f t="shared" si="112"/>
        <v>-7.6222302450332791E-3</v>
      </c>
      <c r="EB112" s="5">
        <f t="shared" si="113"/>
        <v>8.5205319546830083E-2</v>
      </c>
      <c r="EC112" s="47">
        <f t="shared" si="59"/>
        <v>99.597552938067906</v>
      </c>
      <c r="ED112" s="64">
        <f t="shared" si="114"/>
        <v>0.83206783651050087</v>
      </c>
      <c r="EE112" s="47">
        <f t="shared" si="60"/>
        <v>3.362163489499248E-3</v>
      </c>
      <c r="EF112" s="47">
        <f t="shared" si="308"/>
        <v>0.43495</v>
      </c>
      <c r="EG112" s="47">
        <f t="shared" si="309"/>
        <v>927.94</v>
      </c>
      <c r="EH112" s="47">
        <f t="shared" si="310"/>
        <v>1.4672051696284333E-4</v>
      </c>
      <c r="EI112" s="67">
        <f t="shared" si="311"/>
        <v>1.5108513343895359E-3</v>
      </c>
      <c r="EJ112" s="26">
        <f t="shared" si="115"/>
        <v>1.8513121551097121E-3</v>
      </c>
      <c r="EK112" s="66">
        <f t="shared" si="312"/>
        <v>98.890955491162359</v>
      </c>
      <c r="EL112" s="65">
        <f t="shared" si="313"/>
        <v>99.735224234109026</v>
      </c>
      <c r="EM112" s="62">
        <f t="shared" si="314"/>
        <v>100.16472216375998</v>
      </c>
      <c r="EN112" s="62">
        <f t="shared" si="315"/>
        <v>2</v>
      </c>
      <c r="EO112" s="62">
        <f t="shared" si="316"/>
        <v>0.83527783624002494</v>
      </c>
      <c r="EP112" s="62">
        <f t="shared" si="70"/>
        <v>0.91393535670747794</v>
      </c>
      <c r="EQ112" s="63">
        <f t="shared" si="71"/>
        <v>-1.3761383726999868E-3</v>
      </c>
      <c r="ER112" s="63">
        <f t="shared" si="317"/>
        <v>-5.6997897971638415E-4</v>
      </c>
      <c r="ES112" s="63">
        <f t="shared" si="73"/>
        <v>-8.0615939298360267E-4</v>
      </c>
      <c r="ET112" s="62">
        <f t="shared" si="318"/>
        <v>100.41839461184496</v>
      </c>
      <c r="EU112" s="62">
        <f t="shared" si="319"/>
        <v>100.11529739602167</v>
      </c>
      <c r="EX112" s="23"/>
      <c r="EZ112" s="46">
        <f t="shared" si="320"/>
        <v>34520</v>
      </c>
      <c r="FA112" s="64">
        <f t="shared" si="321"/>
        <v>1600</v>
      </c>
      <c r="FB112" s="64">
        <f t="shared" si="322"/>
        <v>900</v>
      </c>
      <c r="FC112" s="64" t="b">
        <v>1</v>
      </c>
      <c r="FD112" s="64" t="b">
        <v>1</v>
      </c>
      <c r="FE112" s="20">
        <f t="shared" si="79"/>
        <v>0.19483695652173916</v>
      </c>
      <c r="FF112" s="20">
        <f t="shared" si="80"/>
        <v>334.7280334728033</v>
      </c>
      <c r="FG112" s="20">
        <f t="shared" si="81"/>
        <v>0.40368563685636866</v>
      </c>
      <c r="FH112" s="20">
        <f t="shared" si="82"/>
        <v>676.69172932330821</v>
      </c>
      <c r="FI112" s="59" t="s">
        <v>19</v>
      </c>
      <c r="FJ112" s="58" t="s">
        <v>0</v>
      </c>
      <c r="FK112" s="47">
        <f t="shared" si="323"/>
        <v>99.690003950061651</v>
      </c>
      <c r="FL112" s="57">
        <f t="shared" si="84"/>
        <v>99.690003950061651</v>
      </c>
      <c r="FM112" s="12">
        <f t="shared" si="85"/>
        <v>101.87295299209993</v>
      </c>
      <c r="FN112" s="12">
        <f t="shared" si="86"/>
        <v>99.597552938067906</v>
      </c>
      <c r="FO112" s="1">
        <f t="shared" si="327"/>
        <v>99.597552938067921</v>
      </c>
      <c r="FP112" s="1">
        <f t="shared" si="328"/>
        <v>99.682758257614736</v>
      </c>
      <c r="FQ112" s="12">
        <f t="shared" si="87"/>
        <v>100.16472216375998</v>
      </c>
      <c r="FR112" s="47">
        <f t="shared" si="360"/>
        <v>99.453277545327765</v>
      </c>
      <c r="FS112" s="57">
        <f t="shared" si="89"/>
        <v>99.453277545327765</v>
      </c>
      <c r="FT112" s="12">
        <f t="shared" si="90"/>
        <v>104.75730419177442</v>
      </c>
      <c r="FU112" s="12">
        <f t="shared" si="91"/>
        <v>98.890955491162359</v>
      </c>
      <c r="FV112" s="12">
        <f t="shared" si="92"/>
        <v>100.41839461184496</v>
      </c>
      <c r="FW112" s="47">
        <f t="shared" si="361"/>
        <v>99.736127002288328</v>
      </c>
      <c r="FX112" s="56">
        <f t="shared" si="94"/>
        <v>99.736127002288328</v>
      </c>
      <c r="FY112" s="56">
        <f t="shared" si="95"/>
        <v>101.31097478281552</v>
      </c>
      <c r="FZ112" s="56">
        <f t="shared" si="96"/>
        <v>99.735224234109026</v>
      </c>
      <c r="GA112" s="56">
        <f t="shared" si="97"/>
        <v>100.11529739602167</v>
      </c>
      <c r="GC112" s="12">
        <f t="shared" si="98"/>
        <v>99.93968766828219</v>
      </c>
      <c r="GD112" s="12">
        <f t="shared" si="99"/>
        <v>99.530892448512589</v>
      </c>
      <c r="GE112" s="57">
        <f t="shared" si="324"/>
        <v>99.690003950061651</v>
      </c>
      <c r="GF112" s="12" t="e">
        <f>IF(#REF!=FALSE,FALSE,CH112)</f>
        <v>#REF!</v>
      </c>
      <c r="GG112" s="12" t="e">
        <f>IF(#REF!=FALSE,FALSE,AN112)</f>
        <v>#REF!</v>
      </c>
      <c r="GH112" s="56" t="e">
        <f>#REF!</f>
        <v>#REF!</v>
      </c>
      <c r="GI112" s="12">
        <f t="shared" si="101"/>
        <v>99.530892448512589</v>
      </c>
      <c r="GJ112" s="12">
        <f t="shared" si="102"/>
        <v>0.437</v>
      </c>
      <c r="GK112" s="56">
        <f t="shared" si="325"/>
        <v>99.736127002288328</v>
      </c>
      <c r="GL112" s="12" t="str">
        <f t="shared" si="326"/>
        <v>PND</v>
      </c>
    </row>
    <row r="113" spans="1:209">
      <c r="A113" t="s">
        <v>13</v>
      </c>
      <c r="B113" s="21" t="s">
        <v>12</v>
      </c>
      <c r="C113" s="21" t="s">
        <v>11</v>
      </c>
      <c r="D113" t="s">
        <v>18</v>
      </c>
      <c r="E113" t="s">
        <v>10</v>
      </c>
      <c r="F113" t="s">
        <v>9</v>
      </c>
      <c r="G113">
        <v>50</v>
      </c>
      <c r="H113">
        <v>5</v>
      </c>
      <c r="I113">
        <v>2.5</v>
      </c>
      <c r="J113" s="21">
        <f t="shared" si="270"/>
        <v>12.5</v>
      </c>
      <c r="K113" t="s">
        <v>8</v>
      </c>
      <c r="L113" t="s">
        <v>7</v>
      </c>
      <c r="U113" t="s">
        <v>6</v>
      </c>
      <c r="V113" s="53">
        <f t="shared" si="331"/>
        <v>4</v>
      </c>
      <c r="W113" t="s">
        <v>5</v>
      </c>
      <c r="X113">
        <v>10</v>
      </c>
      <c r="Y113" s="52" t="s">
        <v>4</v>
      </c>
      <c r="Z113" s="52" t="s">
        <v>3</v>
      </c>
      <c r="AA113" s="52"/>
      <c r="AB113" s="52">
        <v>34534</v>
      </c>
      <c r="AC113" s="52">
        <v>34534</v>
      </c>
      <c r="AD113" s="21">
        <f t="shared" si="332"/>
        <v>28</v>
      </c>
      <c r="AE113" s="21">
        <v>28</v>
      </c>
      <c r="AF113" s="21"/>
      <c r="AG113" s="52"/>
      <c r="AH113" s="52"/>
      <c r="AI113" t="b">
        <v>0</v>
      </c>
      <c r="AJ113" s="50">
        <f t="shared" si="333"/>
        <v>4.12</v>
      </c>
      <c r="AK113" s="16">
        <f t="shared" si="334"/>
        <v>16.48</v>
      </c>
      <c r="AL113">
        <v>206</v>
      </c>
      <c r="AM113" s="7">
        <f t="shared" si="335"/>
        <v>44.48</v>
      </c>
      <c r="AN113" s="21">
        <f t="shared" si="355"/>
        <v>556</v>
      </c>
      <c r="AQ113" s="52"/>
      <c r="AS113" s="45">
        <f t="shared" si="336"/>
        <v>4117.6000000000004</v>
      </c>
      <c r="AT113">
        <v>20588</v>
      </c>
      <c r="AU113">
        <v>100000</v>
      </c>
      <c r="AV113">
        <f t="shared" si="337"/>
        <v>20.588000000000001</v>
      </c>
      <c r="AW113" s="55"/>
      <c r="AX113">
        <v>2.64</v>
      </c>
      <c r="AY113" s="21">
        <f t="shared" si="277"/>
        <v>0.97812949640287772</v>
      </c>
      <c r="BA113" s="51">
        <v>1020</v>
      </c>
      <c r="BB113" s="8">
        <f t="shared" si="338"/>
        <v>1020</v>
      </c>
      <c r="BC113" s="24">
        <f t="shared" si="339"/>
        <v>21.543600000000001</v>
      </c>
      <c r="BD113" s="7">
        <f t="shared" si="340"/>
        <v>0.54383999999999999</v>
      </c>
      <c r="BE113" s="7"/>
      <c r="BF113" s="43">
        <f t="shared" si="341"/>
        <v>0.54383999999999999</v>
      </c>
      <c r="BG113">
        <f t="shared" si="342"/>
        <v>20.999760000000002</v>
      </c>
      <c r="BH113" s="50">
        <f t="shared" si="343"/>
        <v>5.84</v>
      </c>
      <c r="BI113" s="21">
        <f t="shared" si="356"/>
        <v>23.36</v>
      </c>
      <c r="BJ113">
        <v>292</v>
      </c>
      <c r="BL113">
        <v>50000</v>
      </c>
      <c r="BQ113">
        <v>14618</v>
      </c>
      <c r="BR113">
        <f t="shared" si="344"/>
        <v>14.618</v>
      </c>
      <c r="BS113" s="54"/>
      <c r="BT113">
        <v>2.63</v>
      </c>
      <c r="BV113">
        <v>990</v>
      </c>
      <c r="BW113" s="24">
        <f t="shared" si="345"/>
        <v>15.239780000000001</v>
      </c>
      <c r="BX113">
        <f t="shared" si="346"/>
        <v>0.76795999999999998</v>
      </c>
      <c r="BZ113" s="21">
        <f t="shared" si="347"/>
        <v>0.76795999999999998</v>
      </c>
      <c r="CA113">
        <f t="shared" si="348"/>
        <v>14.471820000000001</v>
      </c>
      <c r="CB113" s="40">
        <f t="shared" si="285"/>
        <v>-41.210650191232709</v>
      </c>
      <c r="CC113" s="39" t="b">
        <f t="shared" si="286"/>
        <v>0</v>
      </c>
      <c r="CD113" s="39" t="b">
        <f t="shared" si="287"/>
        <v>0</v>
      </c>
      <c r="CE113" s="38">
        <f t="shared" si="357"/>
        <v>31.085783837529572</v>
      </c>
      <c r="CF113" s="35" t="b">
        <f t="shared" si="288"/>
        <v>1</v>
      </c>
      <c r="CG113" s="35" t="b">
        <f t="shared" si="289"/>
        <v>1</v>
      </c>
      <c r="CH113" s="17">
        <f t="shared" si="290"/>
        <v>47.482014388489205</v>
      </c>
      <c r="CI113" s="16">
        <f t="shared" si="358"/>
        <v>28.997474256848648</v>
      </c>
      <c r="CJ113" s="35" t="b">
        <f t="shared" si="291"/>
        <v>1</v>
      </c>
      <c r="CK113" s="35" t="b">
        <f t="shared" si="292"/>
        <v>1</v>
      </c>
      <c r="CL113" s="37">
        <f t="shared" si="293"/>
        <v>-41.747572815533978</v>
      </c>
      <c r="CM113" s="36">
        <f t="shared" si="349"/>
        <v>29.260754934179989</v>
      </c>
      <c r="CN113" s="35" t="b">
        <f t="shared" si="294"/>
        <v>1</v>
      </c>
      <c r="CO113" s="35" t="b">
        <f t="shared" si="295"/>
        <v>1</v>
      </c>
      <c r="CP113">
        <f t="shared" si="329"/>
        <v>1994</v>
      </c>
      <c r="CQ113" s="52">
        <v>34471</v>
      </c>
      <c r="CR113">
        <f t="shared" si="350"/>
        <v>63</v>
      </c>
      <c r="CS113" t="str">
        <f t="shared" si="362"/>
        <v>Pendimethalin</v>
      </c>
      <c r="CT113">
        <f t="shared" si="363"/>
        <v>5</v>
      </c>
      <c r="CU113" s="7"/>
      <c r="CV113" s="7"/>
      <c r="CW113" s="21">
        <v>0.8</v>
      </c>
      <c r="CX113" s="21">
        <v>13792</v>
      </c>
      <c r="CY113" s="7" t="s">
        <v>2</v>
      </c>
      <c r="CZ113" s="33">
        <v>24</v>
      </c>
      <c r="DA113" s="1">
        <f t="shared" si="299"/>
        <v>556</v>
      </c>
      <c r="DB113" s="3">
        <v>386.36363636363598</v>
      </c>
      <c r="DC113" s="3" t="s">
        <v>1</v>
      </c>
      <c r="DD113" s="32">
        <f t="shared" si="300"/>
        <v>110.336</v>
      </c>
      <c r="DE113" s="32">
        <f t="shared" si="301"/>
        <v>0.24476166369975616</v>
      </c>
      <c r="DF113">
        <f t="shared" si="330"/>
        <v>0.19663335627822978</v>
      </c>
      <c r="DG113">
        <f t="shared" si="359"/>
        <v>5.17009649666407E-2</v>
      </c>
      <c r="DH113" s="2">
        <f t="shared" si="351"/>
        <v>4.9159377702273598E-2</v>
      </c>
      <c r="DI113" s="7">
        <f t="shared" si="302"/>
        <v>43.619129717461931</v>
      </c>
      <c r="DJ113" s="31">
        <f t="shared" si="352"/>
        <v>12.146469170188871</v>
      </c>
      <c r="DK113" s="31">
        <f t="shared" si="303"/>
        <v>0.59711286568633604</v>
      </c>
      <c r="DL113" s="31">
        <f t="shared" si="304"/>
        <v>11.549356304502535</v>
      </c>
      <c r="DM113" s="30">
        <f t="shared" si="353"/>
        <v>-9.7956872768343715</v>
      </c>
      <c r="DN113" s="30">
        <f t="shared" si="354"/>
        <v>45.002436673073717</v>
      </c>
      <c r="DO113" s="7">
        <v>24.79</v>
      </c>
      <c r="DP113" s="7">
        <f t="shared" si="305"/>
        <v>25.640287769784173</v>
      </c>
      <c r="DQ113" s="7">
        <f t="shared" si="306"/>
        <v>15.078686613561297</v>
      </c>
      <c r="DR113" s="7">
        <f t="shared" si="57"/>
        <v>-0.52984466588354517</v>
      </c>
      <c r="DS113" s="6">
        <f t="shared" si="307"/>
        <v>-21.36</v>
      </c>
      <c r="DT113" s="5">
        <f t="shared" si="105"/>
        <v>8160.454545454545</v>
      </c>
      <c r="DU113" s="5">
        <f t="shared" si="106"/>
        <v>8160.4545454545378</v>
      </c>
      <c r="DV113" s="5">
        <f t="shared" si="107"/>
        <v>2477.5975680000001</v>
      </c>
      <c r="DW113" s="5">
        <f t="shared" si="108"/>
        <v>29.464092292144109</v>
      </c>
      <c r="DX113" s="5">
        <f t="shared" si="109"/>
        <v>29.464092292144112</v>
      </c>
      <c r="DY113" s="5">
        <f t="shared" si="110"/>
        <v>30.534372466751133</v>
      </c>
      <c r="DZ113" s="5">
        <f t="shared" si="111"/>
        <v>0</v>
      </c>
      <c r="EA113" s="5">
        <f t="shared" si="112"/>
        <v>0</v>
      </c>
      <c r="EB113" s="5">
        <f t="shared" si="113"/>
        <v>1.0702801746070172</v>
      </c>
      <c r="EC113" s="16">
        <f t="shared" si="59"/>
        <v>29.464092292144116</v>
      </c>
      <c r="ED113" s="3">
        <f t="shared" si="114"/>
        <v>6.3476261870503601</v>
      </c>
      <c r="EE113" s="16">
        <f t="shared" si="60"/>
        <v>15.195973812949642</v>
      </c>
      <c r="EF113" s="16">
        <f t="shared" si="308"/>
        <v>5.9700000000000006</v>
      </c>
      <c r="EG113" s="16">
        <f t="shared" si="309"/>
        <v>264</v>
      </c>
      <c r="EH113" s="16">
        <f t="shared" si="310"/>
        <v>9.7812949640287768E-4</v>
      </c>
      <c r="EI113" s="20">
        <f t="shared" si="311"/>
        <v>0.74702461622465144</v>
      </c>
      <c r="EJ113" s="26">
        <f t="shared" si="115"/>
        <v>14.448949196724991</v>
      </c>
      <c r="EK113" s="29">
        <f t="shared" si="312"/>
        <v>-37.36110183595386</v>
      </c>
      <c r="EL113" s="28">
        <f t="shared" si="313"/>
        <v>31.194693669237221</v>
      </c>
      <c r="EM113" s="25">
        <f t="shared" si="314"/>
        <v>93.974651566522496</v>
      </c>
      <c r="EN113" s="25">
        <f t="shared" si="315"/>
        <v>2</v>
      </c>
      <c r="EO113" s="25">
        <f t="shared" si="316"/>
        <v>7.0253484334775091</v>
      </c>
      <c r="EP113" s="25">
        <f t="shared" si="70"/>
        <v>2.6505373857913246</v>
      </c>
      <c r="EQ113" s="26">
        <f t="shared" si="71"/>
        <v>1.2980769651146602</v>
      </c>
      <c r="ER113" s="26">
        <f t="shared" si="317"/>
        <v>6.3812655814692532E-2</v>
      </c>
      <c r="ES113" s="26">
        <f t="shared" si="73"/>
        <v>1.2342643092999677</v>
      </c>
      <c r="ET113" s="25">
        <f t="shared" si="318"/>
        <v>88.266281293267781</v>
      </c>
      <c r="EU113" s="25">
        <f t="shared" si="319"/>
        <v>94.122483736480959</v>
      </c>
      <c r="EV113" s="1"/>
      <c r="EW113" s="1"/>
      <c r="EX113" s="2"/>
      <c r="EY113" s="1"/>
      <c r="EZ113" s="22">
        <f t="shared" si="320"/>
        <v>34534</v>
      </c>
      <c r="FA113" s="3">
        <f t="shared" si="321"/>
        <v>1020</v>
      </c>
      <c r="FB113" s="3">
        <f t="shared" si="322"/>
        <v>990</v>
      </c>
      <c r="FC113" s="3" t="b">
        <v>1</v>
      </c>
      <c r="FD113" s="3" t="b">
        <v>1</v>
      </c>
      <c r="FE113" s="20">
        <f t="shared" si="79"/>
        <v>2.5897438827872314E-2</v>
      </c>
      <c r="FF113" s="20">
        <f t="shared" si="80"/>
        <v>386.36363636363632</v>
      </c>
      <c r="FG113" s="20">
        <f t="shared" si="81"/>
        <v>5.3065889432013381E-2</v>
      </c>
      <c r="FH113" s="20">
        <f t="shared" si="82"/>
        <v>376.42585551330802</v>
      </c>
      <c r="FI113" s="19" t="s">
        <v>17</v>
      </c>
      <c r="FJ113" s="18" t="s">
        <v>0</v>
      </c>
      <c r="FK113" s="16">
        <f t="shared" si="323"/>
        <v>29.260754934179989</v>
      </c>
      <c r="FL113" s="17">
        <f t="shared" si="84"/>
        <v>29.260754934179989</v>
      </c>
      <c r="FM113" s="1">
        <f t="shared" si="85"/>
        <v>43.619129717461931</v>
      </c>
      <c r="FN113" s="1">
        <f t="shared" si="86"/>
        <v>29.464092292144116</v>
      </c>
      <c r="FO113" s="1">
        <f t="shared" si="327"/>
        <v>29.464092292144109</v>
      </c>
      <c r="FP113" s="1">
        <f t="shared" si="328"/>
        <v>30.534372466751133</v>
      </c>
      <c r="FQ113" s="1">
        <f t="shared" si="87"/>
        <v>93.974651566522496</v>
      </c>
      <c r="FR113" s="16" t="b">
        <f t="shared" si="360"/>
        <v>0</v>
      </c>
      <c r="FS113" s="17" t="b">
        <f t="shared" si="89"/>
        <v>0</v>
      </c>
      <c r="FT113" s="1" t="b">
        <f t="shared" si="90"/>
        <v>0</v>
      </c>
      <c r="FU113" s="1" t="b">
        <f t="shared" si="91"/>
        <v>0</v>
      </c>
      <c r="FV113" s="1" t="b">
        <f t="shared" si="92"/>
        <v>0</v>
      </c>
      <c r="FW113" s="16">
        <f t="shared" si="361"/>
        <v>31.085783837529572</v>
      </c>
      <c r="FX113" s="15">
        <f t="shared" si="94"/>
        <v>31.085783837529572</v>
      </c>
      <c r="FY113" s="15">
        <f t="shared" si="95"/>
        <v>45.002436673073717</v>
      </c>
      <c r="FZ113" s="15">
        <f t="shared" si="96"/>
        <v>31.194693669237221</v>
      </c>
      <c r="GA113" s="15">
        <f t="shared" si="97"/>
        <v>94.122483736480959</v>
      </c>
      <c r="GC113">
        <f t="shared" si="98"/>
        <v>47.482014388489205</v>
      </c>
      <c r="GD113">
        <f t="shared" si="99"/>
        <v>28.997474256848648</v>
      </c>
      <c r="GE113" s="14">
        <f t="shared" si="324"/>
        <v>29.260754934179989</v>
      </c>
      <c r="GF113" t="e">
        <f>IF(#REF!=FALSE,FALSE,CH113)</f>
        <v>#REF!</v>
      </c>
      <c r="GG113" t="e">
        <f>IF(#REF!=FALSE,FALSE,AN113)</f>
        <v>#REF!</v>
      </c>
      <c r="GH113" s="13" t="e">
        <f>#REF!</f>
        <v>#REF!</v>
      </c>
      <c r="GI113">
        <f t="shared" si="101"/>
        <v>28.997474256848648</v>
      </c>
      <c r="GJ113">
        <f t="shared" si="102"/>
        <v>20.588000000000001</v>
      </c>
      <c r="GK113" s="13">
        <f t="shared" si="325"/>
        <v>31.085783837529572</v>
      </c>
      <c r="GL113" t="str">
        <f t="shared" si="326"/>
        <v>PND</v>
      </c>
      <c r="GQ113" s="1"/>
      <c r="GR113" s="1"/>
      <c r="GS113" s="1"/>
      <c r="GT113" s="1"/>
      <c r="GU113" s="1"/>
      <c r="GV113" s="1"/>
      <c r="HA113" s="1"/>
    </row>
    <row r="114" spans="1:209">
      <c r="A114" t="s">
        <v>13</v>
      </c>
      <c r="B114" s="21" t="s">
        <v>12</v>
      </c>
      <c r="C114" s="21" t="s">
        <v>11</v>
      </c>
      <c r="D114" t="s">
        <v>16</v>
      </c>
      <c r="E114" t="s">
        <v>10</v>
      </c>
      <c r="F114" t="s">
        <v>9</v>
      </c>
      <c r="G114">
        <v>50</v>
      </c>
      <c r="H114">
        <v>10</v>
      </c>
      <c r="I114">
        <v>2.5</v>
      </c>
      <c r="J114" s="21">
        <f t="shared" si="270"/>
        <v>25</v>
      </c>
      <c r="K114" t="s">
        <v>8</v>
      </c>
      <c r="L114" t="s">
        <v>7</v>
      </c>
      <c r="U114" t="s">
        <v>6</v>
      </c>
      <c r="V114" s="53">
        <f t="shared" si="331"/>
        <v>2</v>
      </c>
      <c r="W114" t="s">
        <v>5</v>
      </c>
      <c r="X114">
        <v>10</v>
      </c>
      <c r="Y114" s="52" t="s">
        <v>4</v>
      </c>
      <c r="Z114" s="52" t="s">
        <v>3</v>
      </c>
      <c r="AA114" s="52"/>
      <c r="AB114" s="52">
        <v>34534</v>
      </c>
      <c r="AC114" s="52">
        <v>34534</v>
      </c>
      <c r="AD114" s="21">
        <f t="shared" si="332"/>
        <v>28</v>
      </c>
      <c r="AE114" s="21">
        <v>28</v>
      </c>
      <c r="AF114" s="21"/>
      <c r="AG114" s="52"/>
      <c r="AH114" s="52"/>
      <c r="AI114" t="b">
        <v>0</v>
      </c>
      <c r="AJ114" s="50">
        <f t="shared" si="333"/>
        <v>4.12</v>
      </c>
      <c r="AK114" s="16">
        <f t="shared" si="334"/>
        <v>8.24</v>
      </c>
      <c r="AL114">
        <v>206</v>
      </c>
      <c r="AM114" s="7">
        <f t="shared" si="335"/>
        <v>36.24</v>
      </c>
      <c r="AN114" s="21">
        <f t="shared" si="355"/>
        <v>906</v>
      </c>
      <c r="AQ114" s="52"/>
      <c r="AS114" s="45">
        <f t="shared" si="336"/>
        <v>4117.6000000000004</v>
      </c>
      <c r="AT114">
        <v>20588</v>
      </c>
      <c r="AU114">
        <v>100000</v>
      </c>
      <c r="AV114">
        <f t="shared" si="337"/>
        <v>20.588000000000001</v>
      </c>
      <c r="AW114" s="55"/>
      <c r="AX114">
        <v>2.64</v>
      </c>
      <c r="AY114" s="21">
        <f t="shared" si="277"/>
        <v>0.60026490066225169</v>
      </c>
      <c r="BA114" s="51">
        <v>1020</v>
      </c>
      <c r="BB114" s="8">
        <f t="shared" si="338"/>
        <v>1020</v>
      </c>
      <c r="BC114" s="24">
        <f t="shared" si="339"/>
        <v>21.543600000000001</v>
      </c>
      <c r="BD114" s="7">
        <f t="shared" si="340"/>
        <v>0.54383999999999999</v>
      </c>
      <c r="BE114" s="7"/>
      <c r="BF114" s="43">
        <f t="shared" si="341"/>
        <v>0.54383999999999999</v>
      </c>
      <c r="BG114">
        <f t="shared" si="342"/>
        <v>20.999760000000002</v>
      </c>
      <c r="BH114" s="50">
        <f t="shared" si="343"/>
        <v>2.56</v>
      </c>
      <c r="BI114" s="21">
        <f t="shared" si="356"/>
        <v>5.12</v>
      </c>
      <c r="BJ114">
        <v>128</v>
      </c>
      <c r="BL114">
        <v>10000</v>
      </c>
      <c r="BQ114">
        <v>1278</v>
      </c>
      <c r="BR114">
        <f t="shared" si="344"/>
        <v>1.278</v>
      </c>
      <c r="BS114" s="54"/>
      <c r="BT114">
        <v>2.2200000000000002</v>
      </c>
      <c r="BV114">
        <v>1770</v>
      </c>
      <c r="BW114" s="24">
        <f t="shared" si="345"/>
        <v>2.5462199999999999</v>
      </c>
      <c r="BX114">
        <f t="shared" si="346"/>
        <v>0.28416000000000002</v>
      </c>
      <c r="BZ114" s="21">
        <f t="shared" si="347"/>
        <v>0.28416000000000002</v>
      </c>
      <c r="CA114">
        <f t="shared" si="348"/>
        <v>2.26206</v>
      </c>
      <c r="CB114" s="40">
        <f t="shared" si="285"/>
        <v>47.749338040600172</v>
      </c>
      <c r="CC114" s="39" t="b">
        <f t="shared" si="286"/>
        <v>1</v>
      </c>
      <c r="CD114" s="39" t="b">
        <f t="shared" si="287"/>
        <v>1</v>
      </c>
      <c r="CE114" s="38">
        <f t="shared" si="357"/>
        <v>89.228162607572671</v>
      </c>
      <c r="CF114" s="35" t="b">
        <f t="shared" si="288"/>
        <v>1</v>
      </c>
      <c r="CG114" s="35" t="b">
        <f t="shared" si="289"/>
        <v>1</v>
      </c>
      <c r="CH114" s="17">
        <f t="shared" si="290"/>
        <v>85.871964679911699</v>
      </c>
      <c r="CI114" s="16">
        <f t="shared" si="358"/>
        <v>93.792500485719842</v>
      </c>
      <c r="CJ114" s="35" t="b">
        <f t="shared" si="291"/>
        <v>1</v>
      </c>
      <c r="CK114" s="35" t="b">
        <f t="shared" si="292"/>
        <v>1</v>
      </c>
      <c r="CL114" s="37">
        <f t="shared" si="293"/>
        <v>37.864077669902912</v>
      </c>
      <c r="CM114" s="36">
        <f t="shared" si="349"/>
        <v>88.181083941402548</v>
      </c>
      <c r="CN114" s="35" t="b">
        <f t="shared" si="294"/>
        <v>1</v>
      </c>
      <c r="CO114" s="35" t="b">
        <f t="shared" si="295"/>
        <v>1</v>
      </c>
      <c r="CP114">
        <f t="shared" si="329"/>
        <v>1994</v>
      </c>
      <c r="CQ114" s="52">
        <v>34471</v>
      </c>
      <c r="CR114">
        <f t="shared" si="350"/>
        <v>63</v>
      </c>
      <c r="CS114" t="str">
        <f t="shared" si="362"/>
        <v>Pendimethalin</v>
      </c>
      <c r="CT114">
        <f t="shared" si="363"/>
        <v>10</v>
      </c>
      <c r="CU114" s="7"/>
      <c r="CV114" s="7"/>
      <c r="CW114" s="21">
        <v>0.8</v>
      </c>
      <c r="CX114" s="21">
        <v>13792</v>
      </c>
      <c r="CY114" s="7" t="s">
        <v>2</v>
      </c>
      <c r="CZ114" s="33">
        <v>24</v>
      </c>
      <c r="DA114" s="1">
        <f t="shared" si="299"/>
        <v>906</v>
      </c>
      <c r="DB114" s="3">
        <v>386.36363636363598</v>
      </c>
      <c r="DC114" s="3" t="s">
        <v>1</v>
      </c>
      <c r="DD114" s="32">
        <f t="shared" si="300"/>
        <v>110.336</v>
      </c>
      <c r="DE114" s="32">
        <f t="shared" si="301"/>
        <v>0.39883825056111344</v>
      </c>
      <c r="DF114">
        <f t="shared" si="330"/>
        <v>0.28512106414099569</v>
      </c>
      <c r="DG114">
        <f t="shared" si="359"/>
        <v>0.25922857405873173</v>
      </c>
      <c r="DH114" s="2">
        <f t="shared" si="351"/>
        <v>0.20586300168140964</v>
      </c>
      <c r="DI114" s="7">
        <f t="shared" si="302"/>
        <v>97.760707367661311</v>
      </c>
      <c r="DJ114" s="31">
        <f t="shared" si="352"/>
        <v>0.48242424754051705</v>
      </c>
      <c r="DK114" s="31">
        <f t="shared" si="303"/>
        <v>9.9313303682586285E-2</v>
      </c>
      <c r="DL114" s="31">
        <f t="shared" si="304"/>
        <v>0.38311094385793076</v>
      </c>
      <c r="DM114" s="30">
        <f t="shared" si="353"/>
        <v>81.738506972163449</v>
      </c>
      <c r="DN114" s="30">
        <f t="shared" si="354"/>
        <v>98.175641322291639</v>
      </c>
      <c r="DO114" s="7">
        <v>24.79</v>
      </c>
      <c r="DP114" s="7">
        <f t="shared" si="305"/>
        <v>46.370860927152322</v>
      </c>
      <c r="DQ114" s="7">
        <f t="shared" si="306"/>
        <v>48.772100252574319</v>
      </c>
      <c r="DR114" s="7">
        <f t="shared" si="57"/>
        <v>-0.81225381206533165</v>
      </c>
      <c r="DS114" s="6">
        <f t="shared" si="307"/>
        <v>-21.36</v>
      </c>
      <c r="DT114" s="5">
        <f t="shared" si="105"/>
        <v>8160.454545454545</v>
      </c>
      <c r="DU114" s="5">
        <f t="shared" si="106"/>
        <v>8160.4545454545378</v>
      </c>
      <c r="DV114" s="5">
        <f t="shared" si="107"/>
        <v>2477.5975680000001</v>
      </c>
      <c r="DW114" s="5">
        <f t="shared" si="108"/>
        <v>93.592556920455408</v>
      </c>
      <c r="DX114" s="5">
        <f t="shared" si="109"/>
        <v>93.592556920455422</v>
      </c>
      <c r="DY114" s="5">
        <f t="shared" si="110"/>
        <v>93.133947055949747</v>
      </c>
      <c r="DZ114" s="5">
        <f t="shared" si="111"/>
        <v>0</v>
      </c>
      <c r="EA114" s="5">
        <f t="shared" si="112"/>
        <v>0</v>
      </c>
      <c r="EB114" s="5">
        <f t="shared" si="113"/>
        <v>-0.45860986450566088</v>
      </c>
      <c r="EC114" s="16">
        <f t="shared" si="59"/>
        <v>93.592556920455408</v>
      </c>
      <c r="ED114" s="3">
        <f t="shared" si="114"/>
        <v>20.163206092715232</v>
      </c>
      <c r="EE114" s="16">
        <f t="shared" si="60"/>
        <v>1.3803939072847697</v>
      </c>
      <c r="EF114" s="16">
        <f t="shared" si="308"/>
        <v>19.310000000000002</v>
      </c>
      <c r="EG114" s="16">
        <f t="shared" si="309"/>
        <v>778</v>
      </c>
      <c r="EH114" s="16">
        <f t="shared" si="310"/>
        <v>6.0026490066225169E-4</v>
      </c>
      <c r="EI114" s="20">
        <f t="shared" si="311"/>
        <v>0.28417203325637197</v>
      </c>
      <c r="EJ114" s="26">
        <f t="shared" si="115"/>
        <v>1.0962218740283978</v>
      </c>
      <c r="EK114" s="29">
        <f t="shared" si="312"/>
        <v>47.747125394165202</v>
      </c>
      <c r="EL114" s="28">
        <f t="shared" si="313"/>
        <v>94.779836178944905</v>
      </c>
      <c r="EM114" s="25">
        <f t="shared" si="314"/>
        <v>98.299704909804149</v>
      </c>
      <c r="EN114" s="25">
        <f t="shared" si="315"/>
        <v>2</v>
      </c>
      <c r="EO114" s="25">
        <f t="shared" si="316"/>
        <v>2.7002950901958482</v>
      </c>
      <c r="EP114" s="25">
        <f t="shared" si="70"/>
        <v>1.6432574631492924</v>
      </c>
      <c r="EQ114" s="26">
        <f t="shared" si="71"/>
        <v>0.3663047730514325</v>
      </c>
      <c r="ER114" s="26">
        <f t="shared" si="317"/>
        <v>7.5408600110595414E-2</v>
      </c>
      <c r="ES114" s="26">
        <f t="shared" si="73"/>
        <v>0.29089617294083708</v>
      </c>
      <c r="ET114" s="25">
        <f t="shared" si="318"/>
        <v>86.134046758128235</v>
      </c>
      <c r="EU114" s="25">
        <f t="shared" si="319"/>
        <v>98.614764297587982</v>
      </c>
      <c r="EV114" s="1"/>
      <c r="EW114" s="1"/>
      <c r="EX114" s="2"/>
      <c r="EY114" s="1"/>
      <c r="EZ114" s="22">
        <f t="shared" si="320"/>
        <v>34534</v>
      </c>
      <c r="FA114" s="3">
        <f t="shared" si="321"/>
        <v>1020</v>
      </c>
      <c r="FB114" s="3">
        <f t="shared" si="322"/>
        <v>1770</v>
      </c>
      <c r="FC114" s="3" t="b">
        <v>1</v>
      </c>
      <c r="FD114" s="3" t="b">
        <v>1</v>
      </c>
      <c r="FE114" s="20">
        <f t="shared" si="79"/>
        <v>2.5897438827872314E-2</v>
      </c>
      <c r="FF114" s="20">
        <f t="shared" si="80"/>
        <v>386.36363636363632</v>
      </c>
      <c r="FG114" s="20">
        <f t="shared" si="81"/>
        <v>0.12562001007930826</v>
      </c>
      <c r="FH114" s="20">
        <f t="shared" si="82"/>
        <v>797.29729729729718</v>
      </c>
      <c r="FI114" s="19" t="s">
        <v>15</v>
      </c>
      <c r="FJ114" s="18" t="s">
        <v>0</v>
      </c>
      <c r="FK114" s="16">
        <f t="shared" si="323"/>
        <v>88.181083941402548</v>
      </c>
      <c r="FL114" s="17">
        <f t="shared" si="84"/>
        <v>88.181083941402548</v>
      </c>
      <c r="FM114" s="1">
        <f t="shared" si="85"/>
        <v>97.760707367661311</v>
      </c>
      <c r="FN114" s="1">
        <f t="shared" si="86"/>
        <v>93.592556920455408</v>
      </c>
      <c r="FO114" s="1">
        <f t="shared" si="327"/>
        <v>93.592556920455408</v>
      </c>
      <c r="FP114" s="1">
        <f t="shared" si="328"/>
        <v>93.133947055949747</v>
      </c>
      <c r="FQ114" s="1">
        <f t="shared" si="87"/>
        <v>98.299704909804149</v>
      </c>
      <c r="FR114" s="16">
        <f t="shared" si="360"/>
        <v>47.749338040600172</v>
      </c>
      <c r="FS114" s="17">
        <f t="shared" si="89"/>
        <v>47.749338040600172</v>
      </c>
      <c r="FT114" s="1">
        <f t="shared" si="90"/>
        <v>81.738506972163449</v>
      </c>
      <c r="FU114" s="1">
        <f t="shared" si="91"/>
        <v>47.747125394165202</v>
      </c>
      <c r="FV114" s="1">
        <f t="shared" si="92"/>
        <v>86.134046758128235</v>
      </c>
      <c r="FW114" s="16">
        <f t="shared" si="361"/>
        <v>89.228162607572671</v>
      </c>
      <c r="FX114" s="15">
        <f t="shared" si="94"/>
        <v>89.228162607572671</v>
      </c>
      <c r="FY114" s="15">
        <f t="shared" si="95"/>
        <v>98.175641322291639</v>
      </c>
      <c r="FZ114" s="15">
        <f t="shared" si="96"/>
        <v>94.779836178944905</v>
      </c>
      <c r="GA114" s="15">
        <f t="shared" si="97"/>
        <v>98.614764297587982</v>
      </c>
      <c r="GC114">
        <f t="shared" si="98"/>
        <v>85.871964679911699</v>
      </c>
      <c r="GD114">
        <f t="shared" si="99"/>
        <v>93.792500485719842</v>
      </c>
      <c r="GE114" s="14">
        <f t="shared" si="324"/>
        <v>88.181083941402548</v>
      </c>
      <c r="GF114" t="e">
        <f>IF(#REF!=FALSE,FALSE,CH114)</f>
        <v>#REF!</v>
      </c>
      <c r="GG114" t="e">
        <f>IF(#REF!=FALSE,FALSE,AN114)</f>
        <v>#REF!</v>
      </c>
      <c r="GH114" s="13" t="e">
        <f>#REF!</f>
        <v>#REF!</v>
      </c>
      <c r="GI114">
        <f t="shared" si="101"/>
        <v>93.792500485719842</v>
      </c>
      <c r="GJ114">
        <f t="shared" si="102"/>
        <v>20.588000000000001</v>
      </c>
      <c r="GK114" s="13">
        <f t="shared" si="325"/>
        <v>89.228162607572671</v>
      </c>
      <c r="GL114" t="str">
        <f t="shared" si="326"/>
        <v>PND</v>
      </c>
      <c r="GQ114" s="1"/>
      <c r="GR114" s="1"/>
      <c r="GS114" s="1"/>
      <c r="GT114" s="1"/>
      <c r="GU114" s="1"/>
      <c r="GV114" s="1"/>
      <c r="HA114" s="1"/>
    </row>
    <row r="117" spans="1:209">
      <c r="AA117"/>
      <c r="AL117"/>
      <c r="AM117"/>
      <c r="CC117"/>
      <c r="CD117"/>
      <c r="CF117"/>
      <c r="CG117"/>
      <c r="CN117"/>
      <c r="CO117"/>
      <c r="CU117"/>
      <c r="CV117"/>
      <c r="DF117"/>
      <c r="DG117"/>
      <c r="DH117"/>
      <c r="DI117"/>
      <c r="DJ117"/>
      <c r="DK117"/>
      <c r="DL117"/>
      <c r="DM117"/>
      <c r="DN117"/>
      <c r="DO117"/>
      <c r="DP117"/>
      <c r="DQ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Y117"/>
      <c r="EZ117"/>
      <c r="FA117"/>
      <c r="FB117"/>
      <c r="FC117"/>
      <c r="FD117"/>
      <c r="FE117"/>
      <c r="FF117"/>
      <c r="FG117"/>
      <c r="FH117"/>
      <c r="FJ117"/>
      <c r="FK117"/>
      <c r="FQ117"/>
      <c r="FR117"/>
      <c r="FS117"/>
      <c r="FT117"/>
      <c r="FU117"/>
      <c r="FV117"/>
      <c r="FW117"/>
    </row>
    <row r="118" spans="1:209">
      <c r="FJ118" s="2" t="s">
        <v>317</v>
      </c>
      <c r="FK118" s="1">
        <f>COUNT(FK68:FK114)</f>
        <v>43</v>
      </c>
      <c r="FL118" s="1">
        <f>COUNT(FL68:FL114)</f>
        <v>43</v>
      </c>
      <c r="FM118" s="1">
        <f>COUNT(FM68:FM114)</f>
        <v>43</v>
      </c>
      <c r="FN118" s="1">
        <f>COUNT(FN68:FN114)</f>
        <v>43</v>
      </c>
      <c r="FO118" s="1">
        <f t="shared" ref="FO118:FP118" si="364">COUNT(FO68:FO114)</f>
        <v>43</v>
      </c>
      <c r="FP118" s="1">
        <f t="shared" si="364"/>
        <v>43</v>
      </c>
      <c r="FQ118" s="1">
        <f>COUNT(FQ68:FQ114)</f>
        <v>43</v>
      </c>
    </row>
    <row r="119" spans="1:209">
      <c r="FJ119" s="2" t="s">
        <v>321</v>
      </c>
      <c r="FL119" s="14">
        <f>MAX(FL68:FL114)</f>
        <v>99.94386645287193</v>
      </c>
      <c r="FM119" s="14">
        <f>MAX(FM68:FM114)</f>
        <v>105.74150654059737</v>
      </c>
      <c r="FN119" s="14">
        <f>MAX(FN68:FN114)</f>
        <v>99.874716266127294</v>
      </c>
      <c r="FO119" s="14">
        <f t="shared" ref="FO119:FP119" si="365">MAX(FO68:FO114)</f>
        <v>99.874716266127308</v>
      </c>
      <c r="FP119" s="14">
        <f t="shared" si="365"/>
        <v>99.928423235891017</v>
      </c>
      <c r="FQ119" s="14">
        <f>MAX(FQ68:FQ114)</f>
        <v>100.47599908540116</v>
      </c>
    </row>
  </sheetData>
  <autoFilter ref="CW68:EU114"/>
  <mergeCells count="1">
    <mergeCell ref="DO1:D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7"/>
  <sheetViews>
    <sheetView topLeftCell="A97" workbookViewId="0">
      <selection activeCell="J97" sqref="J97"/>
    </sheetView>
  </sheetViews>
  <sheetFormatPr baseColWidth="10" defaultRowHeight="15"/>
  <sheetData>
    <row r="1" spans="1:13">
      <c r="A1" t="s">
        <v>322</v>
      </c>
      <c r="E1" t="s">
        <v>323</v>
      </c>
      <c r="J1" t="s">
        <v>320</v>
      </c>
    </row>
    <row r="2" spans="1:13">
      <c r="J2" t="s">
        <v>323</v>
      </c>
    </row>
    <row r="3" spans="1:13">
      <c r="A3" t="s">
        <v>312</v>
      </c>
      <c r="B3" t="s">
        <v>313</v>
      </c>
      <c r="E3" t="s">
        <v>318</v>
      </c>
      <c r="F3" t="s">
        <v>319</v>
      </c>
      <c r="G3" t="s">
        <v>315</v>
      </c>
      <c r="H3" t="s">
        <v>316</v>
      </c>
      <c r="J3" t="s">
        <v>318</v>
      </c>
      <c r="K3" t="s">
        <v>319</v>
      </c>
      <c r="L3" t="s">
        <v>315</v>
      </c>
      <c r="M3" t="s">
        <v>316</v>
      </c>
    </row>
    <row r="4" spans="1:13">
      <c r="A4" t="s">
        <v>314</v>
      </c>
      <c r="B4" t="s">
        <v>315</v>
      </c>
      <c r="C4" t="s">
        <v>316</v>
      </c>
      <c r="E4" t="b">
        <v>1</v>
      </c>
      <c r="F4" t="b">
        <v>1</v>
      </c>
      <c r="G4">
        <v>92.063400201109729</v>
      </c>
      <c r="H4">
        <v>58.222346084610891</v>
      </c>
      <c r="J4" t="b">
        <v>1</v>
      </c>
      <c r="K4" t="b">
        <v>1</v>
      </c>
      <c r="L4">
        <v>92.063400201109729</v>
      </c>
      <c r="M4">
        <v>58.222346084610891</v>
      </c>
    </row>
    <row r="5" spans="1:13">
      <c r="A5" t="b">
        <v>1</v>
      </c>
      <c r="B5">
        <v>52.718439472785406</v>
      </c>
      <c r="C5">
        <v>64.148808423963544</v>
      </c>
      <c r="E5" t="b">
        <v>1</v>
      </c>
      <c r="F5" t="b">
        <v>1</v>
      </c>
      <c r="G5">
        <v>93.619468578414711</v>
      </c>
      <c r="H5">
        <v>61.899556141382973</v>
      </c>
      <c r="J5" t="b">
        <v>1</v>
      </c>
      <c r="K5" t="b">
        <v>1</v>
      </c>
      <c r="L5">
        <v>93.619468578414711</v>
      </c>
      <c r="M5">
        <v>61.899556141382973</v>
      </c>
    </row>
    <row r="6" spans="1:13">
      <c r="A6" t="b">
        <v>1</v>
      </c>
      <c r="B6">
        <v>46.741460118622534</v>
      </c>
      <c r="C6">
        <v>57.896808424555843</v>
      </c>
      <c r="E6" t="b">
        <v>1</v>
      </c>
      <c r="F6" t="b">
        <v>1</v>
      </c>
      <c r="G6">
        <v>95.081492841796106</v>
      </c>
      <c r="H6">
        <v>65.630618590693629</v>
      </c>
      <c r="J6" t="b">
        <v>1</v>
      </c>
      <c r="K6" t="b">
        <v>1</v>
      </c>
      <c r="L6">
        <v>95.081492841796106</v>
      </c>
      <c r="M6">
        <v>65.630618590693629</v>
      </c>
    </row>
    <row r="7" spans="1:13">
      <c r="A7" t="b">
        <v>1</v>
      </c>
      <c r="B7">
        <v>47.999066111333718</v>
      </c>
      <c r="C7">
        <v>56.12393232927829</v>
      </c>
      <c r="E7" t="b">
        <v>1</v>
      </c>
      <c r="F7" t="b">
        <v>1</v>
      </c>
      <c r="G7">
        <v>94.736423285322616</v>
      </c>
      <c r="H7">
        <v>64.63175403270499</v>
      </c>
      <c r="J7" t="b">
        <v>1</v>
      </c>
      <c r="K7" t="b">
        <v>1</v>
      </c>
      <c r="L7">
        <v>94.736423285322616</v>
      </c>
      <c r="M7">
        <v>64.63175403270499</v>
      </c>
    </row>
    <row r="8" spans="1:13">
      <c r="A8" t="b">
        <v>1</v>
      </c>
      <c r="B8">
        <v>54.61997310743287</v>
      </c>
      <c r="C8">
        <v>62.375932328680435</v>
      </c>
      <c r="E8" t="b">
        <v>1</v>
      </c>
      <c r="F8" t="b">
        <v>1</v>
      </c>
      <c r="G8">
        <v>97.721238778005244</v>
      </c>
      <c r="H8">
        <v>68.546433675851759</v>
      </c>
      <c r="J8" t="b">
        <v>1</v>
      </c>
      <c r="K8" t="b">
        <v>1</v>
      </c>
      <c r="L8">
        <v>97.721238778005244</v>
      </c>
      <c r="M8">
        <v>68.546433675851759</v>
      </c>
    </row>
    <row r="9" spans="1:13">
      <c r="A9" t="b">
        <v>1</v>
      </c>
      <c r="B9">
        <v>83.11794142119119</v>
      </c>
      <c r="C9">
        <v>72.456206608578654</v>
      </c>
      <c r="E9" t="b">
        <v>1</v>
      </c>
      <c r="F9" t="b">
        <v>1</v>
      </c>
      <c r="G9">
        <v>93.023035358801792</v>
      </c>
      <c r="H9">
        <v>57.503529392978905</v>
      </c>
      <c r="J9" t="b">
        <v>1</v>
      </c>
      <c r="K9" t="b">
        <v>1</v>
      </c>
      <c r="L9">
        <v>93.023035358801792</v>
      </c>
      <c r="M9">
        <v>57.503529392978905</v>
      </c>
    </row>
    <row r="10" spans="1:13">
      <c r="A10" t="b">
        <v>1</v>
      </c>
      <c r="B10">
        <v>76.560872733840995</v>
      </c>
      <c r="C10">
        <v>66.204206608850157</v>
      </c>
      <c r="E10" t="b">
        <v>1</v>
      </c>
      <c r="F10" t="b">
        <v>1</v>
      </c>
      <c r="G10">
        <v>94.625082946250828</v>
      </c>
      <c r="H10">
        <v>61.180739449750988</v>
      </c>
      <c r="J10" t="b">
        <v>1</v>
      </c>
      <c r="K10" t="b">
        <v>1</v>
      </c>
      <c r="L10">
        <v>94.625082946250828</v>
      </c>
      <c r="M10">
        <v>61.180739449750988</v>
      </c>
    </row>
    <row r="11" spans="1:13">
      <c r="A11" t="b">
        <v>0</v>
      </c>
      <c r="E11" t="b">
        <v>1</v>
      </c>
      <c r="F11" t="b">
        <v>1</v>
      </c>
      <c r="G11">
        <v>95.111700951117001</v>
      </c>
      <c r="H11">
        <v>64.911801899061615</v>
      </c>
      <c r="J11" t="b">
        <v>1</v>
      </c>
      <c r="K11" t="b">
        <v>1</v>
      </c>
      <c r="L11">
        <v>95.111700951117001</v>
      </c>
      <c r="M11">
        <v>64.911801899061615</v>
      </c>
    </row>
    <row r="12" spans="1:13">
      <c r="A12" t="b">
        <v>1</v>
      </c>
      <c r="B12">
        <v>87.14327797917619</v>
      </c>
      <c r="C12">
        <v>91.018146517447832</v>
      </c>
      <c r="E12" t="b">
        <v>1</v>
      </c>
      <c r="F12" t="b">
        <v>1</v>
      </c>
      <c r="G12">
        <v>94.413372515562301</v>
      </c>
      <c r="H12">
        <v>63.912937341072976</v>
      </c>
      <c r="J12" t="b">
        <v>1</v>
      </c>
      <c r="K12" t="b">
        <v>1</v>
      </c>
      <c r="L12">
        <v>94.413372515562301</v>
      </c>
      <c r="M12">
        <v>63.912937341072976</v>
      </c>
    </row>
    <row r="13" spans="1:13">
      <c r="A13" t="b">
        <v>1</v>
      </c>
      <c r="B13">
        <v>52.531653593113738</v>
      </c>
      <c r="C13">
        <v>35.245903733740512</v>
      </c>
      <c r="E13" t="b">
        <v>1</v>
      </c>
      <c r="F13" t="b">
        <v>1</v>
      </c>
      <c r="G13">
        <v>97.661705690902764</v>
      </c>
      <c r="H13">
        <v>67.827616984219773</v>
      </c>
      <c r="J13" t="b">
        <v>1</v>
      </c>
      <c r="K13" t="b">
        <v>1</v>
      </c>
      <c r="L13">
        <v>97.661705690902764</v>
      </c>
      <c r="M13">
        <v>67.827616984219773</v>
      </c>
    </row>
    <row r="14" spans="1:13">
      <c r="A14" t="b">
        <v>1</v>
      </c>
      <c r="B14">
        <v>51.761618583580152</v>
      </c>
      <c r="C14">
        <v>40.182193227134185</v>
      </c>
      <c r="E14" t="b">
        <v>1</v>
      </c>
      <c r="F14" t="b">
        <v>1</v>
      </c>
      <c r="G14">
        <v>67.21311475409837</v>
      </c>
      <c r="H14">
        <v>35.797582048238993</v>
      </c>
      <c r="J14" t="b">
        <v>1</v>
      </c>
      <c r="K14" t="b">
        <v>1</v>
      </c>
      <c r="L14">
        <v>67.21311475409837</v>
      </c>
      <c r="M14">
        <v>35.797582048238993</v>
      </c>
    </row>
    <row r="15" spans="1:13">
      <c r="A15" t="b">
        <v>1</v>
      </c>
      <c r="B15">
        <v>75.701491655294092</v>
      </c>
      <c r="C15">
        <v>66.29070890489642</v>
      </c>
      <c r="E15" t="b">
        <v>1</v>
      </c>
      <c r="F15" t="b">
        <v>1</v>
      </c>
      <c r="G15">
        <v>81.420765027322403</v>
      </c>
      <c r="H15">
        <v>44.034664115108313</v>
      </c>
      <c r="J15" t="b">
        <v>1</v>
      </c>
      <c r="K15" t="b">
        <v>1</v>
      </c>
      <c r="L15">
        <v>81.420765027322403</v>
      </c>
      <c r="M15">
        <v>44.034664115108313</v>
      </c>
    </row>
    <row r="16" spans="1:13">
      <c r="A16" t="b">
        <v>1</v>
      </c>
      <c r="B16">
        <v>91.944444444444457</v>
      </c>
      <c r="C16">
        <v>97.675231048368971</v>
      </c>
      <c r="E16" t="b">
        <v>1</v>
      </c>
      <c r="F16" t="b">
        <v>1</v>
      </c>
      <c r="G16">
        <v>82.513661202185801</v>
      </c>
      <c r="H16">
        <v>43.810276487716934</v>
      </c>
      <c r="J16" t="b">
        <v>1</v>
      </c>
      <c r="K16" t="b">
        <v>1</v>
      </c>
      <c r="L16">
        <v>82.513661202185801</v>
      </c>
      <c r="M16">
        <v>43.810276487716934</v>
      </c>
    </row>
    <row r="17" spans="1:13">
      <c r="A17" t="b">
        <v>1</v>
      </c>
      <c r="B17">
        <v>99.985943775100409</v>
      </c>
      <c r="C17">
        <v>103.14706966468393</v>
      </c>
      <c r="E17" t="b">
        <v>1</v>
      </c>
      <c r="F17" t="b">
        <v>1</v>
      </c>
      <c r="G17">
        <v>79.78142076502732</v>
      </c>
      <c r="H17">
        <v>44.031803396352714</v>
      </c>
      <c r="J17" t="b">
        <v>1</v>
      </c>
      <c r="K17" t="b">
        <v>1</v>
      </c>
      <c r="L17">
        <v>79.78142076502732</v>
      </c>
      <c r="M17">
        <v>44.031803396352714</v>
      </c>
    </row>
    <row r="18" spans="1:13">
      <c r="A18" t="b">
        <v>1</v>
      </c>
      <c r="B18">
        <v>97.77274015301785</v>
      </c>
      <c r="C18">
        <v>93.766583569702576</v>
      </c>
      <c r="E18" t="b">
        <v>1</v>
      </c>
      <c r="F18" t="b">
        <v>1</v>
      </c>
      <c r="G18">
        <v>89.617486338797818</v>
      </c>
      <c r="H18">
        <v>53.768438475916454</v>
      </c>
      <c r="J18" t="b">
        <v>1</v>
      </c>
      <c r="K18" t="b">
        <v>1</v>
      </c>
      <c r="L18">
        <v>89.617486338797818</v>
      </c>
      <c r="M18">
        <v>53.768438475916454</v>
      </c>
    </row>
    <row r="19" spans="1:13">
      <c r="A19" t="b">
        <v>1</v>
      </c>
      <c r="B19">
        <v>98.867740361151775</v>
      </c>
      <c r="C19">
        <v>99.986242452251787</v>
      </c>
      <c r="E19" t="b">
        <v>1</v>
      </c>
      <c r="F19" t="b">
        <v>1</v>
      </c>
      <c r="G19">
        <v>73.493975903614455</v>
      </c>
      <c r="H19">
        <v>35.078777331293665</v>
      </c>
      <c r="J19" t="b">
        <v>1</v>
      </c>
      <c r="K19" t="b">
        <v>1</v>
      </c>
      <c r="L19">
        <v>73.493975903614455</v>
      </c>
      <c r="M19">
        <v>35.078777331293665</v>
      </c>
    </row>
    <row r="20" spans="1:13">
      <c r="A20" t="b">
        <v>0</v>
      </c>
      <c r="E20" t="b">
        <v>1</v>
      </c>
      <c r="F20" t="b">
        <v>1</v>
      </c>
      <c r="G20">
        <v>81.445783132530124</v>
      </c>
      <c r="H20">
        <v>43.315859398162985</v>
      </c>
      <c r="J20" t="b">
        <v>1</v>
      </c>
      <c r="K20" t="b">
        <v>1</v>
      </c>
      <c r="L20">
        <v>81.445783132530124</v>
      </c>
      <c r="M20">
        <v>43.315859398162985</v>
      </c>
    </row>
    <row r="21" spans="1:13">
      <c r="A21" t="b">
        <v>0</v>
      </c>
      <c r="E21" t="b">
        <v>1</v>
      </c>
      <c r="F21" t="b">
        <v>1</v>
      </c>
      <c r="G21">
        <v>88.192771084337352</v>
      </c>
      <c r="H21">
        <v>43.091471770771605</v>
      </c>
      <c r="J21" t="b">
        <v>1</v>
      </c>
      <c r="K21" t="b">
        <v>1</v>
      </c>
      <c r="L21">
        <v>88.192771084337352</v>
      </c>
      <c r="M21">
        <v>43.091471770771605</v>
      </c>
    </row>
    <row r="22" spans="1:13">
      <c r="A22" t="b">
        <v>1</v>
      </c>
      <c r="B22">
        <v>91.979695431472081</v>
      </c>
      <c r="C22">
        <v>99.282479224206753</v>
      </c>
      <c r="E22" t="b">
        <v>1</v>
      </c>
      <c r="F22" t="b">
        <v>1</v>
      </c>
      <c r="G22">
        <v>86.024096385542165</v>
      </c>
      <c r="H22">
        <v>43.312998679407386</v>
      </c>
      <c r="J22" t="b">
        <v>1</v>
      </c>
      <c r="K22" t="b">
        <v>1</v>
      </c>
      <c r="L22">
        <v>86.024096385542165</v>
      </c>
      <c r="M22">
        <v>43.312998679407386</v>
      </c>
    </row>
    <row r="23" spans="1:13">
      <c r="A23" t="b">
        <v>1</v>
      </c>
      <c r="B23">
        <v>99.852077562326869</v>
      </c>
      <c r="C23">
        <v>101.62571795455206</v>
      </c>
      <c r="E23" t="b">
        <v>1</v>
      </c>
      <c r="F23" t="b">
        <v>1</v>
      </c>
      <c r="G23">
        <v>95.903614457831324</v>
      </c>
      <c r="H23">
        <v>53.049633758971126</v>
      </c>
      <c r="J23" t="b">
        <v>1</v>
      </c>
      <c r="K23" t="b">
        <v>1</v>
      </c>
      <c r="L23">
        <v>95.903614457831324</v>
      </c>
      <c r="M23">
        <v>53.049633758971126</v>
      </c>
    </row>
    <row r="24" spans="1:13">
      <c r="A24" t="b">
        <v>1</v>
      </c>
      <c r="B24">
        <v>96.074561403508767</v>
      </c>
      <c r="C24">
        <v>103.14244901564508</v>
      </c>
      <c r="E24" t="b">
        <v>1</v>
      </c>
      <c r="F24" t="b">
        <v>1</v>
      </c>
      <c r="G24">
        <v>14.12</v>
      </c>
      <c r="H24">
        <v>26.629557273917168</v>
      </c>
      <c r="J24" t="b">
        <v>1</v>
      </c>
      <c r="K24" t="b">
        <v>1</v>
      </c>
      <c r="L24">
        <v>14.12</v>
      </c>
      <c r="M24">
        <v>26.629557273917168</v>
      </c>
    </row>
    <row r="25" spans="1:13">
      <c r="A25" t="b">
        <v>1</v>
      </c>
      <c r="B25">
        <v>95.376712328767127</v>
      </c>
      <c r="C25">
        <v>95.913069529932713</v>
      </c>
      <c r="E25" t="b">
        <v>1</v>
      </c>
      <c r="F25" t="b">
        <v>1</v>
      </c>
      <c r="G25">
        <v>11.14</v>
      </c>
      <c r="H25">
        <v>19.13967563185005</v>
      </c>
      <c r="J25" t="b">
        <v>1</v>
      </c>
      <c r="K25" t="b">
        <v>1</v>
      </c>
      <c r="L25">
        <v>11.14</v>
      </c>
      <c r="M25">
        <v>19.13967563185005</v>
      </c>
    </row>
    <row r="26" spans="1:13">
      <c r="A26" t="b">
        <v>1</v>
      </c>
      <c r="B26">
        <v>99.379310344827587</v>
      </c>
      <c r="C26">
        <v>106.23039640855019</v>
      </c>
      <c r="E26" t="b">
        <v>1</v>
      </c>
      <c r="F26" t="b">
        <v>1</v>
      </c>
      <c r="G26">
        <v>50.09</v>
      </c>
      <c r="H26">
        <v>46.703293395130544</v>
      </c>
      <c r="J26" t="b">
        <v>1</v>
      </c>
      <c r="K26" t="b">
        <v>1</v>
      </c>
      <c r="L26">
        <v>50.09</v>
      </c>
      <c r="M26">
        <v>46.703293395130544</v>
      </c>
    </row>
    <row r="27" spans="1:13">
      <c r="A27" t="b">
        <v>1</v>
      </c>
      <c r="B27">
        <v>99.636118598382751</v>
      </c>
      <c r="C27">
        <v>95.114838052267004</v>
      </c>
      <c r="E27" t="b">
        <v>1</v>
      </c>
      <c r="F27" t="b">
        <v>1</v>
      </c>
      <c r="G27">
        <v>37.53</v>
      </c>
      <c r="H27">
        <v>40.520697118493999</v>
      </c>
      <c r="J27" t="b">
        <v>1</v>
      </c>
      <c r="K27" t="b">
        <v>1</v>
      </c>
      <c r="L27">
        <v>37.53</v>
      </c>
      <c r="M27">
        <v>40.520697118493999</v>
      </c>
    </row>
    <row r="28" spans="1:13">
      <c r="A28" t="b">
        <v>1</v>
      </c>
      <c r="B28">
        <v>63</v>
      </c>
      <c r="C28">
        <v>69.794658716560761</v>
      </c>
      <c r="E28" t="b">
        <v>1</v>
      </c>
      <c r="F28" t="b">
        <v>1</v>
      </c>
      <c r="G28">
        <v>99.94</v>
      </c>
      <c r="H28">
        <v>100.88282208365398</v>
      </c>
      <c r="J28" t="b">
        <v>1</v>
      </c>
      <c r="K28" t="b">
        <v>1</v>
      </c>
      <c r="L28">
        <v>99.94</v>
      </c>
      <c r="M28">
        <v>100.88282208365398</v>
      </c>
    </row>
    <row r="29" spans="1:13">
      <c r="A29" t="b">
        <v>1</v>
      </c>
      <c r="B29">
        <v>90</v>
      </c>
      <c r="C29">
        <v>84.862326047757506</v>
      </c>
      <c r="E29" t="b">
        <v>1</v>
      </c>
      <c r="F29" t="b">
        <v>1</v>
      </c>
      <c r="G29">
        <v>99.79</v>
      </c>
      <c r="H29">
        <v>102.36796718333103</v>
      </c>
      <c r="J29" t="b">
        <v>1</v>
      </c>
      <c r="K29" t="b">
        <v>1</v>
      </c>
      <c r="L29">
        <v>99.79</v>
      </c>
      <c r="M29">
        <v>102.36796718333103</v>
      </c>
    </row>
    <row r="30" spans="1:13">
      <c r="A30" t="b">
        <v>1</v>
      </c>
      <c r="B30">
        <v>32</v>
      </c>
      <c r="C30">
        <v>52.375868834241459</v>
      </c>
      <c r="E30" t="b">
        <v>1</v>
      </c>
      <c r="F30" t="b">
        <v>1</v>
      </c>
      <c r="G30">
        <v>56.72</v>
      </c>
      <c r="H30">
        <v>56.438046145282996</v>
      </c>
      <c r="J30" t="b">
        <v>1</v>
      </c>
      <c r="K30" t="b">
        <v>1</v>
      </c>
      <c r="L30">
        <v>56.72</v>
      </c>
      <c r="M30">
        <v>56.438046145282996</v>
      </c>
    </row>
    <row r="31" spans="1:13">
      <c r="A31" t="b">
        <v>1</v>
      </c>
      <c r="B31">
        <v>68</v>
      </c>
      <c r="C31">
        <v>74.059642355662049</v>
      </c>
      <c r="E31" t="b">
        <v>1</v>
      </c>
      <c r="F31" t="b">
        <v>1</v>
      </c>
      <c r="G31">
        <v>49.91</v>
      </c>
      <c r="H31">
        <v>52.362189589213557</v>
      </c>
      <c r="J31" t="b">
        <v>1</v>
      </c>
      <c r="K31" t="b">
        <v>1</v>
      </c>
      <c r="L31">
        <v>49.91</v>
      </c>
      <c r="M31">
        <v>52.362189589213557</v>
      </c>
    </row>
    <row r="32" spans="1:13">
      <c r="A32" t="b">
        <v>1</v>
      </c>
      <c r="B32">
        <v>52</v>
      </c>
      <c r="C32">
        <v>59.885889443085588</v>
      </c>
      <c r="E32" t="b">
        <v>0</v>
      </c>
      <c r="F32" t="b">
        <v>1</v>
      </c>
      <c r="G32">
        <v>100</v>
      </c>
      <c r="H32">
        <v>101.89554147547314</v>
      </c>
      <c r="J32" t="b">
        <v>1</v>
      </c>
      <c r="K32" t="b">
        <v>1</v>
      </c>
      <c r="L32">
        <v>94.94</v>
      </c>
      <c r="M32">
        <v>98.597980940556894</v>
      </c>
    </row>
    <row r="33" spans="1:13">
      <c r="A33" t="b">
        <v>1</v>
      </c>
      <c r="B33">
        <v>61</v>
      </c>
      <c r="C33">
        <v>65.507151377288707</v>
      </c>
      <c r="E33" t="b">
        <v>1</v>
      </c>
      <c r="F33" t="b">
        <v>1</v>
      </c>
      <c r="G33">
        <v>94.94</v>
      </c>
      <c r="H33">
        <v>98.597980940556894</v>
      </c>
      <c r="J33" t="b">
        <v>1</v>
      </c>
      <c r="K33" t="b">
        <v>1</v>
      </c>
      <c r="L33">
        <v>60.23</v>
      </c>
      <c r="M33">
        <v>79.952635239612107</v>
      </c>
    </row>
    <row r="34" spans="1:13">
      <c r="A34" t="b">
        <v>1</v>
      </c>
      <c r="B34">
        <v>71</v>
      </c>
      <c r="C34">
        <v>69.392391984139991</v>
      </c>
      <c r="E34" t="b">
        <v>1</v>
      </c>
      <c r="F34" t="b">
        <v>1</v>
      </c>
      <c r="G34">
        <v>60.23</v>
      </c>
      <c r="H34">
        <v>79.952635239612107</v>
      </c>
      <c r="J34" t="b">
        <v>1</v>
      </c>
      <c r="K34" t="b">
        <v>1</v>
      </c>
      <c r="L34">
        <v>54.93</v>
      </c>
      <c r="M34">
        <v>73.663138450568042</v>
      </c>
    </row>
    <row r="35" spans="1:13">
      <c r="A35" t="b">
        <v>1</v>
      </c>
      <c r="B35">
        <v>92</v>
      </c>
      <c r="C35">
        <v>84.460059315336736</v>
      </c>
      <c r="E35" t="b">
        <v>1</v>
      </c>
      <c r="F35" t="b">
        <v>1</v>
      </c>
      <c r="G35">
        <v>54.93</v>
      </c>
      <c r="H35">
        <v>73.663138450568042</v>
      </c>
      <c r="J35" t="b">
        <v>1</v>
      </c>
      <c r="K35" t="b">
        <v>1</v>
      </c>
      <c r="L35">
        <v>27.39</v>
      </c>
      <c r="M35">
        <v>24.85201150191865</v>
      </c>
    </row>
    <row r="36" spans="1:13">
      <c r="A36" t="b">
        <v>1</v>
      </c>
      <c r="B36">
        <v>41</v>
      </c>
      <c r="C36">
        <v>51.973602101820688</v>
      </c>
      <c r="E36" t="b">
        <v>1</v>
      </c>
      <c r="F36" t="b">
        <v>1</v>
      </c>
      <c r="G36">
        <v>27.39</v>
      </c>
      <c r="H36">
        <v>24.85201150191865</v>
      </c>
      <c r="J36" t="b">
        <v>1</v>
      </c>
      <c r="K36" t="b">
        <v>1</v>
      </c>
      <c r="L36">
        <v>15.73</v>
      </c>
      <c r="M36">
        <v>17.363238359950156</v>
      </c>
    </row>
    <row r="37" spans="1:13">
      <c r="A37" t="b">
        <v>1</v>
      </c>
      <c r="B37">
        <v>73</v>
      </c>
      <c r="C37">
        <v>73.657375623241279</v>
      </c>
      <c r="E37" t="b">
        <v>1</v>
      </c>
      <c r="F37" t="b">
        <v>1</v>
      </c>
      <c r="G37">
        <v>15.73</v>
      </c>
      <c r="H37">
        <v>17.363238359950156</v>
      </c>
      <c r="J37" t="b">
        <v>1</v>
      </c>
      <c r="K37" t="b">
        <v>1</v>
      </c>
      <c r="L37">
        <v>37.67</v>
      </c>
      <c r="M37">
        <v>44.922432671928135</v>
      </c>
    </row>
    <row r="38" spans="1:13">
      <c r="A38" t="b">
        <v>1</v>
      </c>
      <c r="B38">
        <v>56</v>
      </c>
      <c r="C38">
        <v>59.483622710664818</v>
      </c>
      <c r="E38" t="b">
        <v>1</v>
      </c>
      <c r="F38" t="b">
        <v>1</v>
      </c>
      <c r="G38">
        <v>37.67</v>
      </c>
      <c r="H38">
        <v>44.922432671928135</v>
      </c>
      <c r="J38" t="b">
        <v>1</v>
      </c>
      <c r="K38" t="b">
        <v>1</v>
      </c>
      <c r="L38">
        <v>27.38</v>
      </c>
      <c r="M38">
        <v>38.741389364032869</v>
      </c>
    </row>
    <row r="39" spans="1:13">
      <c r="A39" t="b">
        <v>1</v>
      </c>
      <c r="B39">
        <v>69</v>
      </c>
      <c r="C39">
        <v>65.104884644867937</v>
      </c>
      <c r="E39" t="b">
        <v>1</v>
      </c>
      <c r="F39" t="b">
        <v>1</v>
      </c>
      <c r="G39">
        <v>27.38</v>
      </c>
      <c r="H39">
        <v>38.741389364032869</v>
      </c>
      <c r="J39" t="b">
        <v>1</v>
      </c>
      <c r="K39" t="b">
        <v>1</v>
      </c>
      <c r="L39">
        <v>99.86</v>
      </c>
      <c r="M39">
        <v>99.132567270135681</v>
      </c>
    </row>
    <row r="40" spans="1:13">
      <c r="A40" t="b">
        <v>1</v>
      </c>
      <c r="B40">
        <v>89</v>
      </c>
      <c r="C40">
        <v>78.63306978379758</v>
      </c>
      <c r="E40" t="b">
        <v>1</v>
      </c>
      <c r="F40" t="b">
        <v>1</v>
      </c>
      <c r="G40">
        <v>99.86</v>
      </c>
      <c r="H40">
        <v>99.132567270135681</v>
      </c>
      <c r="J40" t="b">
        <v>1</v>
      </c>
      <c r="K40" t="b">
        <v>1</v>
      </c>
      <c r="L40">
        <v>99.82</v>
      </c>
      <c r="M40">
        <v>100.61804082349386</v>
      </c>
    </row>
    <row r="41" spans="1:13">
      <c r="A41" t="b">
        <v>1</v>
      </c>
      <c r="B41">
        <v>96</v>
      </c>
      <c r="C41">
        <v>93.700737114994325</v>
      </c>
      <c r="E41" t="b">
        <v>1</v>
      </c>
      <c r="F41" t="b">
        <v>1</v>
      </c>
      <c r="G41">
        <v>99.82</v>
      </c>
      <c r="H41">
        <v>100.61804082349386</v>
      </c>
      <c r="J41" t="b">
        <v>1</v>
      </c>
      <c r="K41" t="b">
        <v>1</v>
      </c>
      <c r="L41">
        <v>47.74</v>
      </c>
      <c r="M41">
        <v>54.663694541133651</v>
      </c>
    </row>
    <row r="42" spans="1:13">
      <c r="A42" t="b">
        <v>1</v>
      </c>
      <c r="B42">
        <v>53</v>
      </c>
      <c r="C42">
        <v>61.214279901478278</v>
      </c>
      <c r="E42" t="b">
        <v>1</v>
      </c>
      <c r="F42" t="b">
        <v>1</v>
      </c>
      <c r="G42">
        <v>47.74</v>
      </c>
      <c r="H42">
        <v>54.663694541133651</v>
      </c>
      <c r="J42" t="b">
        <v>1</v>
      </c>
      <c r="K42" t="b">
        <v>1</v>
      </c>
      <c r="L42">
        <v>53.74</v>
      </c>
      <c r="M42">
        <v>50.589341497645222</v>
      </c>
    </row>
    <row r="43" spans="1:13">
      <c r="A43" t="b">
        <v>1</v>
      </c>
      <c r="B43">
        <v>90</v>
      </c>
      <c r="C43">
        <v>82.898053422898869</v>
      </c>
      <c r="E43" t="b">
        <v>1</v>
      </c>
      <c r="F43" t="b">
        <v>1</v>
      </c>
      <c r="G43">
        <v>53.74</v>
      </c>
      <c r="H43">
        <v>50.589341497645222</v>
      </c>
      <c r="J43" t="b">
        <v>1</v>
      </c>
      <c r="K43" t="b">
        <v>1</v>
      </c>
      <c r="L43">
        <v>97.56</v>
      </c>
      <c r="M43">
        <v>96.821668201235781</v>
      </c>
    </row>
    <row r="44" spans="1:13">
      <c r="A44" t="b">
        <v>1</v>
      </c>
      <c r="B44">
        <v>69</v>
      </c>
      <c r="C44">
        <v>68.724300510322408</v>
      </c>
      <c r="E44" t="b">
        <v>0</v>
      </c>
      <c r="F44" t="b">
        <v>1</v>
      </c>
      <c r="G44">
        <v>100</v>
      </c>
      <c r="H44">
        <v>100.11881920109322</v>
      </c>
      <c r="J44" t="b">
        <v>1</v>
      </c>
      <c r="K44" t="b">
        <v>1</v>
      </c>
      <c r="L44">
        <v>71.709999999999994</v>
      </c>
      <c r="M44">
        <v>78.168249731883151</v>
      </c>
    </row>
    <row r="45" spans="1:13">
      <c r="A45" t="b">
        <v>1</v>
      </c>
      <c r="B45">
        <v>81</v>
      </c>
      <c r="C45">
        <v>74.345562444525527</v>
      </c>
      <c r="E45" t="b">
        <v>1</v>
      </c>
      <c r="F45" t="b">
        <v>1</v>
      </c>
      <c r="G45">
        <v>97.56</v>
      </c>
      <c r="H45">
        <v>96.821668201235781</v>
      </c>
      <c r="J45" t="b">
        <v>1</v>
      </c>
      <c r="K45" t="b">
        <v>1</v>
      </c>
      <c r="L45">
        <v>73.03</v>
      </c>
      <c r="M45">
        <v>71.881677161544971</v>
      </c>
    </row>
    <row r="46" spans="1:13">
      <c r="A46" t="b">
        <v>1</v>
      </c>
      <c r="B46">
        <v>65</v>
      </c>
      <c r="C46">
        <v>63.092655199949576</v>
      </c>
      <c r="E46" t="b">
        <v>1</v>
      </c>
      <c r="F46" t="b">
        <v>1</v>
      </c>
      <c r="G46">
        <v>71.709999999999994</v>
      </c>
      <c r="H46">
        <v>78.168249731883151</v>
      </c>
      <c r="J46" t="b">
        <v>1</v>
      </c>
      <c r="K46" t="b">
        <v>1</v>
      </c>
      <c r="L46">
        <v>21.51</v>
      </c>
      <c r="M46">
        <v>27.555865195666495</v>
      </c>
    </row>
    <row r="47" spans="1:13">
      <c r="A47" t="b">
        <v>1</v>
      </c>
      <c r="B47">
        <v>88</v>
      </c>
      <c r="C47">
        <v>78.160322531146321</v>
      </c>
      <c r="E47" t="b">
        <v>1</v>
      </c>
      <c r="F47" t="b">
        <v>1</v>
      </c>
      <c r="G47">
        <v>73.03</v>
      </c>
      <c r="H47">
        <v>71.881677161544971</v>
      </c>
      <c r="J47" t="b">
        <v>1</v>
      </c>
      <c r="K47" t="b">
        <v>1</v>
      </c>
      <c r="L47">
        <v>7.99</v>
      </c>
      <c r="M47">
        <v>20.064990374001223</v>
      </c>
    </row>
    <row r="48" spans="1:13">
      <c r="A48" t="b">
        <v>1</v>
      </c>
      <c r="B48">
        <v>44</v>
      </c>
      <c r="C48">
        <v>45.673865317630273</v>
      </c>
      <c r="E48" t="b">
        <v>1</v>
      </c>
      <c r="F48" t="b">
        <v>1</v>
      </c>
      <c r="G48">
        <v>21.51</v>
      </c>
      <c r="H48">
        <v>27.555865195666495</v>
      </c>
      <c r="J48" t="b">
        <v>1</v>
      </c>
      <c r="K48" t="b">
        <v>1</v>
      </c>
      <c r="L48">
        <v>37.72</v>
      </c>
      <c r="M48">
        <v>47.632576558251344</v>
      </c>
    </row>
    <row r="49" spans="1:13">
      <c r="A49" t="b">
        <v>1</v>
      </c>
      <c r="B49">
        <v>85</v>
      </c>
      <c r="C49">
        <v>67.357638839050864</v>
      </c>
      <c r="E49" t="b">
        <v>1</v>
      </c>
      <c r="F49" t="b">
        <v>1</v>
      </c>
      <c r="G49">
        <v>7.99</v>
      </c>
      <c r="H49">
        <v>20.064990374001223</v>
      </c>
      <c r="J49" t="b">
        <v>1</v>
      </c>
      <c r="K49" t="b">
        <v>1</v>
      </c>
      <c r="L49">
        <v>35.75</v>
      </c>
      <c r="M49">
        <v>41.448585495256197</v>
      </c>
    </row>
    <row r="50" spans="1:13">
      <c r="A50" t="b">
        <v>1</v>
      </c>
      <c r="B50">
        <v>54</v>
      </c>
      <c r="C50">
        <v>53.183885926474403</v>
      </c>
      <c r="E50" t="b">
        <v>1</v>
      </c>
      <c r="F50" t="b">
        <v>1</v>
      </c>
      <c r="G50">
        <v>37.72</v>
      </c>
      <c r="H50">
        <v>47.632576558251344</v>
      </c>
      <c r="J50" t="b">
        <v>1</v>
      </c>
      <c r="K50" t="b">
        <v>1</v>
      </c>
      <c r="L50">
        <v>99.98</v>
      </c>
      <c r="M50">
        <v>101.78492644257035</v>
      </c>
    </row>
    <row r="51" spans="1:13">
      <c r="A51" t="b">
        <v>1</v>
      </c>
      <c r="B51">
        <v>65</v>
      </c>
      <c r="C51">
        <v>58.805147860677522</v>
      </c>
      <c r="E51" t="b">
        <v>1</v>
      </c>
      <c r="F51" t="b">
        <v>1</v>
      </c>
      <c r="G51">
        <v>35.75</v>
      </c>
      <c r="H51">
        <v>41.448585495256197</v>
      </c>
      <c r="J51" t="b">
        <v>1</v>
      </c>
      <c r="K51" t="b">
        <v>1</v>
      </c>
      <c r="L51">
        <v>99.81</v>
      </c>
      <c r="M51">
        <v>103.26978336598367</v>
      </c>
    </row>
    <row r="52" spans="1:13">
      <c r="E52" t="b">
        <v>1</v>
      </c>
      <c r="F52" t="b">
        <v>1</v>
      </c>
      <c r="G52">
        <v>99.98</v>
      </c>
      <c r="H52">
        <v>101.78492644257035</v>
      </c>
      <c r="J52" t="b">
        <v>1</v>
      </c>
      <c r="K52" t="b">
        <v>1</v>
      </c>
      <c r="L52">
        <v>47.42</v>
      </c>
      <c r="M52">
        <v>57.361494533608578</v>
      </c>
    </row>
    <row r="53" spans="1:13">
      <c r="E53" t="b">
        <v>1</v>
      </c>
      <c r="F53" t="b">
        <v>1</v>
      </c>
      <c r="G53">
        <v>99.81</v>
      </c>
      <c r="H53">
        <v>103.26978336598367</v>
      </c>
      <c r="J53" t="b">
        <v>1</v>
      </c>
      <c r="K53" t="b">
        <v>1</v>
      </c>
      <c r="L53">
        <v>48.87</v>
      </c>
      <c r="M53">
        <v>53.284294452269734</v>
      </c>
    </row>
    <row r="54" spans="1:13">
      <c r="A54" t="s">
        <v>317</v>
      </c>
      <c r="B54">
        <f>COUNT(B4:B51)</f>
        <v>44</v>
      </c>
      <c r="C54">
        <f>COUNT(C4:C51)</f>
        <v>44</v>
      </c>
      <c r="E54" t="b">
        <v>1</v>
      </c>
      <c r="F54" t="b">
        <v>1</v>
      </c>
      <c r="G54">
        <v>47.42</v>
      </c>
      <c r="H54">
        <v>57.361494533608578</v>
      </c>
      <c r="J54" t="b">
        <v>1</v>
      </c>
      <c r="K54" t="b">
        <v>1</v>
      </c>
      <c r="L54">
        <v>95.58</v>
      </c>
      <c r="M54">
        <v>99.523184159496196</v>
      </c>
    </row>
    <row r="55" spans="1:13">
      <c r="A55" t="s">
        <v>321</v>
      </c>
      <c r="B55">
        <f>MAX(B4:B51)</f>
        <v>99.985943775100409</v>
      </c>
      <c r="C55">
        <f>MAX(C4:C51)</f>
        <v>106.23039640855019</v>
      </c>
      <c r="E55" t="b">
        <v>1</v>
      </c>
      <c r="F55" t="b">
        <v>1</v>
      </c>
      <c r="G55">
        <v>48.87</v>
      </c>
      <c r="H55">
        <v>53.284294452269734</v>
      </c>
      <c r="J55" t="b">
        <v>1</v>
      </c>
      <c r="K55" t="b">
        <v>1</v>
      </c>
      <c r="L55">
        <v>70.239999999999995</v>
      </c>
      <c r="M55">
        <v>80.885090474245686</v>
      </c>
    </row>
    <row r="56" spans="1:13">
      <c r="E56" t="b">
        <v>0</v>
      </c>
      <c r="F56" t="b">
        <v>1</v>
      </c>
      <c r="G56">
        <v>100</v>
      </c>
      <c r="H56">
        <v>102.82111148809939</v>
      </c>
      <c r="J56" t="b">
        <v>1</v>
      </c>
      <c r="K56" t="b">
        <v>1</v>
      </c>
      <c r="L56">
        <v>67.62</v>
      </c>
      <c r="M56">
        <v>74.592961462837039</v>
      </c>
    </row>
    <row r="57" spans="1:13">
      <c r="E57" t="b">
        <v>1</v>
      </c>
      <c r="F57" t="b">
        <v>1</v>
      </c>
      <c r="G57">
        <v>95.58</v>
      </c>
      <c r="H57">
        <v>99.523184159496196</v>
      </c>
      <c r="J57" t="b">
        <v>1</v>
      </c>
      <c r="K57" t="b">
        <v>1</v>
      </c>
      <c r="L57">
        <v>80.4983498349835</v>
      </c>
      <c r="M57">
        <v>57.821179449564987</v>
      </c>
    </row>
    <row r="58" spans="1:13">
      <c r="E58" t="b">
        <v>1</v>
      </c>
      <c r="F58" t="b">
        <v>1</v>
      </c>
      <c r="G58">
        <v>70.239999999999995</v>
      </c>
      <c r="H58">
        <v>80.885090474245686</v>
      </c>
      <c r="J58" t="b">
        <v>1</v>
      </c>
      <c r="K58" t="b">
        <v>1</v>
      </c>
      <c r="L58">
        <v>85.040540540540547</v>
      </c>
      <c r="M58">
        <v>65.483098037207924</v>
      </c>
    </row>
    <row r="59" spans="1:13">
      <c r="E59" t="b">
        <v>1</v>
      </c>
      <c r="F59" t="b">
        <v>1</v>
      </c>
      <c r="G59">
        <v>67.62</v>
      </c>
      <c r="H59">
        <v>74.592961462837039</v>
      </c>
      <c r="J59" t="b">
        <v>1</v>
      </c>
      <c r="K59" t="b">
        <v>1</v>
      </c>
      <c r="L59">
        <v>72.009681449094316</v>
      </c>
      <c r="M59">
        <v>56.489843081794639</v>
      </c>
    </row>
    <row r="60" spans="1:13">
      <c r="E60" t="b">
        <v>1</v>
      </c>
      <c r="F60" t="b">
        <v>1</v>
      </c>
      <c r="G60">
        <v>80.4983498349835</v>
      </c>
      <c r="H60">
        <v>57.821179449564987</v>
      </c>
      <c r="J60" t="b">
        <v>1</v>
      </c>
      <c r="K60" t="b">
        <v>1</v>
      </c>
      <c r="L60">
        <v>74.747058823529414</v>
      </c>
      <c r="M60">
        <v>69.391096000106643</v>
      </c>
    </row>
    <row r="61" spans="1:13">
      <c r="E61" t="b">
        <v>1</v>
      </c>
      <c r="F61" t="b">
        <v>1</v>
      </c>
      <c r="G61">
        <v>85.040540540540547</v>
      </c>
      <c r="H61">
        <v>65.483098037207924</v>
      </c>
      <c r="J61" t="b">
        <v>1</v>
      </c>
      <c r="K61" t="b">
        <v>1</v>
      </c>
      <c r="L61">
        <v>53.824473975636764</v>
      </c>
      <c r="M61">
        <v>47.84359360863035</v>
      </c>
    </row>
    <row r="62" spans="1:13">
      <c r="E62" t="b">
        <v>1</v>
      </c>
      <c r="F62" t="b">
        <v>1</v>
      </c>
      <c r="G62">
        <v>72.009681449094316</v>
      </c>
      <c r="H62">
        <v>56.489843081794639</v>
      </c>
      <c r="J62" t="b">
        <v>1</v>
      </c>
      <c r="K62" t="b">
        <v>1</v>
      </c>
      <c r="L62">
        <v>47.150724809885922</v>
      </c>
      <c r="M62">
        <v>34.528916346910016</v>
      </c>
    </row>
    <row r="63" spans="1:13">
      <c r="E63" t="b">
        <v>1</v>
      </c>
      <c r="F63" t="b">
        <v>1</v>
      </c>
      <c r="G63">
        <v>74.747058823529414</v>
      </c>
      <c r="H63">
        <v>69.391096000106643</v>
      </c>
      <c r="J63" t="b">
        <v>1</v>
      </c>
      <c r="K63" t="b">
        <v>1</v>
      </c>
      <c r="L63">
        <v>85.179596174282679</v>
      </c>
      <c r="M63">
        <v>56.051818795211936</v>
      </c>
    </row>
    <row r="64" spans="1:13">
      <c r="E64" t="b">
        <v>1</v>
      </c>
      <c r="F64" t="b">
        <v>1</v>
      </c>
      <c r="G64">
        <v>53.824473975636764</v>
      </c>
      <c r="H64">
        <v>47.84359360863035</v>
      </c>
      <c r="J64" t="b">
        <v>1</v>
      </c>
      <c r="K64" t="b">
        <v>1</v>
      </c>
      <c r="L64">
        <v>85.050452781371291</v>
      </c>
      <c r="M64">
        <v>63.701896732290841</v>
      </c>
    </row>
    <row r="65" spans="5:13">
      <c r="E65" t="b">
        <v>1</v>
      </c>
      <c r="F65" t="b">
        <v>1</v>
      </c>
      <c r="G65">
        <v>47.150724809885922</v>
      </c>
      <c r="H65">
        <v>34.528916346910016</v>
      </c>
      <c r="J65" t="b">
        <v>1</v>
      </c>
      <c r="K65" t="b">
        <v>1</v>
      </c>
      <c r="L65">
        <v>73.621553884711773</v>
      </c>
      <c r="M65">
        <v>54.71454132184531</v>
      </c>
    </row>
    <row r="66" spans="5:13">
      <c r="E66" t="b">
        <v>1</v>
      </c>
      <c r="F66" t="b">
        <v>0</v>
      </c>
      <c r="J66" t="b">
        <v>1</v>
      </c>
      <c r="K66" t="b">
        <v>1</v>
      </c>
      <c r="L66">
        <v>72.199152542372886</v>
      </c>
      <c r="M66">
        <v>67.648191600223669</v>
      </c>
    </row>
    <row r="67" spans="5:13">
      <c r="E67" t="b">
        <v>1</v>
      </c>
      <c r="F67" t="b">
        <v>1</v>
      </c>
      <c r="G67">
        <v>85.179596174282679</v>
      </c>
      <c r="H67">
        <v>56.051818795211936</v>
      </c>
      <c r="J67" t="b">
        <v>1</v>
      </c>
      <c r="K67" t="b">
        <v>1</v>
      </c>
      <c r="L67">
        <v>58.244493392070481</v>
      </c>
      <c r="M67">
        <v>46.067871351383779</v>
      </c>
    </row>
    <row r="68" spans="5:13">
      <c r="E68" t="b">
        <v>1</v>
      </c>
      <c r="F68" t="b">
        <v>1</v>
      </c>
      <c r="G68">
        <v>85.050452781371291</v>
      </c>
      <c r="H68">
        <v>63.701896732290841</v>
      </c>
      <c r="J68" t="b">
        <v>1</v>
      </c>
      <c r="K68" t="b">
        <v>1</v>
      </c>
      <c r="L68">
        <v>48.351668726823249</v>
      </c>
      <c r="M68">
        <v>32.744933292860971</v>
      </c>
    </row>
    <row r="69" spans="5:13">
      <c r="E69" t="b">
        <v>1</v>
      </c>
      <c r="F69" t="b">
        <v>1</v>
      </c>
      <c r="G69">
        <v>73.621553884711773</v>
      </c>
      <c r="H69">
        <v>54.71454132184531</v>
      </c>
      <c r="J69" t="b">
        <v>1</v>
      </c>
      <c r="K69" t="b">
        <v>1</v>
      </c>
      <c r="L69">
        <v>44</v>
      </c>
      <c r="M69">
        <v>42.262508709865003</v>
      </c>
    </row>
    <row r="70" spans="5:13">
      <c r="E70" t="b">
        <v>1</v>
      </c>
      <c r="F70" t="b">
        <v>1</v>
      </c>
      <c r="G70">
        <v>72.199152542372886</v>
      </c>
      <c r="H70">
        <v>67.648191600223669</v>
      </c>
      <c r="J70" t="b">
        <v>1</v>
      </c>
      <c r="K70" t="b">
        <v>1</v>
      </c>
      <c r="L70">
        <v>60</v>
      </c>
      <c r="M70">
        <v>54.962508709865013</v>
      </c>
    </row>
    <row r="71" spans="5:13">
      <c r="E71" t="b">
        <v>1</v>
      </c>
      <c r="F71" t="b">
        <v>1</v>
      </c>
      <c r="G71">
        <v>58.244493392070481</v>
      </c>
      <c r="H71">
        <v>46.067871351383779</v>
      </c>
      <c r="J71" t="b">
        <v>1</v>
      </c>
      <c r="K71" t="b">
        <v>1</v>
      </c>
      <c r="L71">
        <v>97</v>
      </c>
      <c r="M71">
        <v>76.562508709865014</v>
      </c>
    </row>
    <row r="72" spans="5:13">
      <c r="E72" t="b">
        <v>1</v>
      </c>
      <c r="F72" t="b">
        <v>1</v>
      </c>
      <c r="G72">
        <v>48.351668726823249</v>
      </c>
      <c r="H72">
        <v>32.744933292860971</v>
      </c>
      <c r="J72" t="b">
        <v>1</v>
      </c>
      <c r="K72" t="b">
        <v>1</v>
      </c>
      <c r="L72">
        <v>72</v>
      </c>
      <c r="M72">
        <v>47.637624088093396</v>
      </c>
    </row>
    <row r="73" spans="5:13">
      <c r="E73" t="b">
        <v>1</v>
      </c>
      <c r="F73" t="b">
        <v>0</v>
      </c>
      <c r="J73" t="b">
        <v>1</v>
      </c>
      <c r="K73" t="b">
        <v>1</v>
      </c>
      <c r="L73">
        <v>100</v>
      </c>
      <c r="M73">
        <v>60.337624088093399</v>
      </c>
    </row>
    <row r="74" spans="5:13">
      <c r="E74" t="b">
        <v>1</v>
      </c>
      <c r="F74" t="b">
        <v>1</v>
      </c>
      <c r="G74">
        <v>44</v>
      </c>
      <c r="H74">
        <v>42.262508709865003</v>
      </c>
      <c r="J74" t="b">
        <v>1</v>
      </c>
      <c r="K74" t="b">
        <v>1</v>
      </c>
      <c r="L74">
        <v>100</v>
      </c>
      <c r="M74">
        <v>81.937624088093415</v>
      </c>
    </row>
    <row r="75" spans="5:13">
      <c r="E75" t="b">
        <v>1</v>
      </c>
      <c r="F75" t="b">
        <v>1</v>
      </c>
      <c r="G75">
        <v>60</v>
      </c>
      <c r="H75">
        <v>54.962508709865013</v>
      </c>
      <c r="J75" t="b">
        <v>1</v>
      </c>
      <c r="K75" t="b">
        <v>1</v>
      </c>
      <c r="L75">
        <v>97</v>
      </c>
      <c r="M75">
        <v>71.826266329185884</v>
      </c>
    </row>
    <row r="76" spans="5:13">
      <c r="E76" t="b">
        <v>1</v>
      </c>
      <c r="F76" t="b">
        <v>1</v>
      </c>
      <c r="G76">
        <v>97</v>
      </c>
      <c r="H76">
        <v>76.562508709865014</v>
      </c>
      <c r="J76" t="b">
        <v>1</v>
      </c>
      <c r="K76" t="b">
        <v>1</v>
      </c>
      <c r="L76">
        <v>99.8</v>
      </c>
      <c r="M76">
        <v>78.898266329185887</v>
      </c>
    </row>
    <row r="77" spans="5:13">
      <c r="E77" t="b">
        <v>1</v>
      </c>
      <c r="F77" t="b">
        <v>1</v>
      </c>
      <c r="G77">
        <v>72</v>
      </c>
      <c r="H77">
        <v>47.637624088093396</v>
      </c>
      <c r="J77" t="b">
        <v>1</v>
      </c>
      <c r="K77" t="b">
        <v>1</v>
      </c>
      <c r="L77">
        <v>100</v>
      </c>
      <c r="M77">
        <v>80.932266329185907</v>
      </c>
    </row>
    <row r="78" spans="5:13">
      <c r="E78" t="b">
        <v>1</v>
      </c>
      <c r="F78" t="b">
        <v>1</v>
      </c>
      <c r="G78">
        <v>100</v>
      </c>
      <c r="H78">
        <v>60.337624088093399</v>
      </c>
      <c r="J78" t="b">
        <v>1</v>
      </c>
      <c r="K78" t="b">
        <v>1</v>
      </c>
      <c r="L78">
        <v>93</v>
      </c>
      <c r="M78">
        <v>77.201350078961184</v>
      </c>
    </row>
    <row r="79" spans="5:13">
      <c r="E79" t="b">
        <v>1</v>
      </c>
      <c r="F79" t="b">
        <v>1</v>
      </c>
      <c r="G79">
        <v>100</v>
      </c>
      <c r="H79">
        <v>81.937624088093415</v>
      </c>
      <c r="J79" t="b">
        <v>1</v>
      </c>
      <c r="K79" t="b">
        <v>1</v>
      </c>
      <c r="L79">
        <v>99</v>
      </c>
      <c r="M79">
        <v>84.273350078961187</v>
      </c>
    </row>
    <row r="80" spans="5:13">
      <c r="E80" t="b">
        <v>1</v>
      </c>
      <c r="F80" t="b">
        <v>1</v>
      </c>
      <c r="G80">
        <v>97</v>
      </c>
      <c r="H80">
        <v>71.826266329185884</v>
      </c>
      <c r="J80" t="b">
        <v>1</v>
      </c>
      <c r="K80" t="b">
        <v>1</v>
      </c>
      <c r="L80">
        <v>100</v>
      </c>
      <c r="M80">
        <v>86.307350078961207</v>
      </c>
    </row>
    <row r="81" spans="5:13">
      <c r="E81" t="b">
        <v>1</v>
      </c>
      <c r="F81" t="b">
        <v>1</v>
      </c>
      <c r="G81">
        <v>99.8</v>
      </c>
      <c r="H81">
        <v>78.898266329185887</v>
      </c>
      <c r="J81" t="b">
        <v>1</v>
      </c>
      <c r="K81" t="b">
        <v>1</v>
      </c>
      <c r="L81">
        <v>99.7</v>
      </c>
      <c r="M81">
        <v>73.457771176899826</v>
      </c>
    </row>
    <row r="82" spans="5:13">
      <c r="E82" t="b">
        <v>1</v>
      </c>
      <c r="F82" t="b">
        <v>1</v>
      </c>
      <c r="G82">
        <v>100</v>
      </c>
      <c r="H82">
        <v>80.932266329185907</v>
      </c>
      <c r="J82" t="b">
        <v>1</v>
      </c>
      <c r="K82" t="b">
        <v>1</v>
      </c>
      <c r="L82">
        <v>99.9</v>
      </c>
      <c r="M82">
        <v>79.817771176899839</v>
      </c>
    </row>
    <row r="83" spans="5:13">
      <c r="E83" t="b">
        <v>1</v>
      </c>
      <c r="F83" t="b">
        <v>1</v>
      </c>
      <c r="G83">
        <v>93</v>
      </c>
      <c r="H83">
        <v>77.201350078961184</v>
      </c>
      <c r="J83" t="b">
        <v>1</v>
      </c>
      <c r="K83" t="b">
        <v>1</v>
      </c>
      <c r="L83">
        <v>99.9</v>
      </c>
      <c r="M83">
        <v>76.017771176899828</v>
      </c>
    </row>
    <row r="84" spans="5:13">
      <c r="E84" t="b">
        <v>1</v>
      </c>
      <c r="F84" t="b">
        <v>1</v>
      </c>
      <c r="G84">
        <v>99</v>
      </c>
      <c r="H84">
        <v>84.273350078961187</v>
      </c>
      <c r="J84" t="b">
        <v>1</v>
      </c>
      <c r="K84" t="b">
        <v>1</v>
      </c>
      <c r="L84">
        <v>97.4</v>
      </c>
      <c r="M84">
        <v>82.24380123514041</v>
      </c>
    </row>
    <row r="85" spans="5:13">
      <c r="E85" t="b">
        <v>1</v>
      </c>
      <c r="F85" t="b">
        <v>1</v>
      </c>
      <c r="G85">
        <v>100</v>
      </c>
      <c r="H85">
        <v>86.307350078961207</v>
      </c>
      <c r="J85" t="b">
        <v>1</v>
      </c>
      <c r="K85" t="b">
        <v>1</v>
      </c>
      <c r="L85">
        <v>99.8</v>
      </c>
      <c r="M85">
        <v>88.603801235140423</v>
      </c>
    </row>
    <row r="86" spans="5:13">
      <c r="E86" t="b">
        <v>1</v>
      </c>
      <c r="F86" t="b">
        <v>1</v>
      </c>
      <c r="G86">
        <v>99.7</v>
      </c>
      <c r="H86">
        <v>73.457771176899826</v>
      </c>
      <c r="J86" t="b">
        <v>1</v>
      </c>
      <c r="K86" t="b">
        <v>1</v>
      </c>
      <c r="L86">
        <v>99.9</v>
      </c>
      <c r="M86">
        <v>84.803801235140412</v>
      </c>
    </row>
    <row r="87" spans="5:13">
      <c r="E87" t="b">
        <v>1</v>
      </c>
      <c r="F87" t="b">
        <v>1</v>
      </c>
      <c r="G87">
        <v>99.9</v>
      </c>
      <c r="H87">
        <v>79.817771176899839</v>
      </c>
      <c r="J87" t="b">
        <v>1</v>
      </c>
      <c r="K87" t="b">
        <v>1</v>
      </c>
      <c r="L87">
        <v>98.512237011592958</v>
      </c>
      <c r="M87">
        <v>84.60115044672645</v>
      </c>
    </row>
    <row r="88" spans="5:13">
      <c r="E88" t="b">
        <v>1</v>
      </c>
      <c r="F88" t="b">
        <v>1</v>
      </c>
      <c r="G88">
        <v>99.9</v>
      </c>
      <c r="H88">
        <v>76.017771176899828</v>
      </c>
      <c r="J88" t="b">
        <v>1</v>
      </c>
      <c r="K88" t="b">
        <v>1</v>
      </c>
      <c r="L88">
        <v>94.35406178928271</v>
      </c>
      <c r="M88">
        <v>87.278041210504654</v>
      </c>
    </row>
    <row r="89" spans="5:13">
      <c r="E89" t="b">
        <v>1</v>
      </c>
      <c r="F89" t="b">
        <v>1</v>
      </c>
      <c r="G89">
        <v>97.4</v>
      </c>
      <c r="H89">
        <v>82.24380123514041</v>
      </c>
      <c r="J89" t="b">
        <v>1</v>
      </c>
      <c r="K89" t="b">
        <v>1</v>
      </c>
      <c r="L89">
        <v>100</v>
      </c>
      <c r="M89">
        <v>93.659879932358621</v>
      </c>
    </row>
    <row r="90" spans="5:13">
      <c r="E90" t="b">
        <v>1</v>
      </c>
      <c r="F90" t="b">
        <v>1</v>
      </c>
      <c r="G90">
        <v>99.8</v>
      </c>
      <c r="H90">
        <v>88.603801235140423</v>
      </c>
      <c r="J90" t="b">
        <v>1</v>
      </c>
      <c r="K90" t="b">
        <v>1</v>
      </c>
      <c r="L90">
        <v>99.724176287161185</v>
      </c>
      <c r="M90">
        <v>92.925444337924503</v>
      </c>
    </row>
    <row r="91" spans="5:13">
      <c r="E91" t="b">
        <v>1</v>
      </c>
      <c r="F91" t="b">
        <v>1</v>
      </c>
      <c r="G91">
        <v>99.9</v>
      </c>
      <c r="H91">
        <v>84.803801235140412</v>
      </c>
      <c r="J91" t="b">
        <v>1</v>
      </c>
      <c r="K91" t="b">
        <v>1</v>
      </c>
      <c r="L91">
        <v>99.83420898714418</v>
      </c>
      <c r="M91">
        <v>95.570851384897693</v>
      </c>
    </row>
    <row r="92" spans="5:13">
      <c r="E92" t="b">
        <v>1</v>
      </c>
      <c r="F92" t="b">
        <v>1</v>
      </c>
      <c r="G92">
        <v>98.512237011592958</v>
      </c>
      <c r="H92">
        <v>84.60115044672645</v>
      </c>
      <c r="J92" t="b">
        <v>1</v>
      </c>
      <c r="K92" t="b">
        <v>1</v>
      </c>
      <c r="L92">
        <v>100</v>
      </c>
      <c r="M92">
        <v>101.41155559142975</v>
      </c>
    </row>
    <row r="93" spans="5:13">
      <c r="E93" t="b">
        <v>1</v>
      </c>
      <c r="F93" t="b">
        <v>1</v>
      </c>
      <c r="G93">
        <v>94.35406178928271</v>
      </c>
      <c r="H93">
        <v>87.278041210504654</v>
      </c>
      <c r="J93" t="b">
        <v>1</v>
      </c>
      <c r="K93" t="b">
        <v>1</v>
      </c>
      <c r="L93">
        <v>95.29174829947614</v>
      </c>
      <c r="M93">
        <v>94.378983424209267</v>
      </c>
    </row>
    <row r="94" spans="5:13">
      <c r="E94" t="b">
        <v>1</v>
      </c>
      <c r="F94" t="b">
        <v>1</v>
      </c>
      <c r="G94">
        <v>100</v>
      </c>
      <c r="H94">
        <v>93.659879932358621</v>
      </c>
      <c r="J94" t="b">
        <v>1</v>
      </c>
      <c r="K94" t="b">
        <v>1</v>
      </c>
      <c r="L94">
        <v>95.494922375443565</v>
      </c>
      <c r="M94">
        <v>97.07141161706744</v>
      </c>
    </row>
    <row r="95" spans="5:13">
      <c r="E95" t="b">
        <v>1</v>
      </c>
      <c r="F95" t="b">
        <v>1</v>
      </c>
      <c r="G95">
        <v>99.724176287161185</v>
      </c>
      <c r="H95">
        <v>92.925444337924503</v>
      </c>
      <c r="J95" t="b">
        <v>1</v>
      </c>
      <c r="K95" t="b">
        <v>1</v>
      </c>
      <c r="L95">
        <v>98.125902182219576</v>
      </c>
      <c r="M95">
        <v>103.7760386932398</v>
      </c>
    </row>
    <row r="96" spans="5:13">
      <c r="E96" t="b">
        <v>1</v>
      </c>
      <c r="F96" t="b">
        <v>1</v>
      </c>
      <c r="G96">
        <v>99.83420898714418</v>
      </c>
      <c r="H96">
        <v>95.570851384897693</v>
      </c>
      <c r="J96" t="b">
        <v>1</v>
      </c>
      <c r="K96" t="b">
        <v>1</v>
      </c>
      <c r="L96" s="13">
        <v>100</v>
      </c>
      <c r="M96">
        <v>89.245897737032308</v>
      </c>
    </row>
    <row r="97" spans="5:13">
      <c r="E97" t="b">
        <v>1</v>
      </c>
      <c r="F97" t="b">
        <v>1</v>
      </c>
      <c r="G97">
        <v>100</v>
      </c>
      <c r="H97">
        <v>101.41155559142975</v>
      </c>
      <c r="J97" t="b">
        <v>1</v>
      </c>
      <c r="K97" t="b">
        <v>1</v>
      </c>
      <c r="L97" s="13">
        <v>100</v>
      </c>
      <c r="M97">
        <v>91.992209320800882</v>
      </c>
    </row>
    <row r="98" spans="5:13">
      <c r="E98" t="b">
        <v>0</v>
      </c>
      <c r="F98" t="b">
        <v>1</v>
      </c>
      <c r="G98">
        <v>100</v>
      </c>
      <c r="H98">
        <v>95.333713997614609</v>
      </c>
      <c r="J98" t="b">
        <v>1</v>
      </c>
      <c r="K98" t="b">
        <v>1</v>
      </c>
      <c r="L98" s="13">
        <v>100</v>
      </c>
      <c r="M98">
        <v>100.38393899064025</v>
      </c>
    </row>
    <row r="99" spans="5:13">
      <c r="E99" t="b">
        <v>0</v>
      </c>
      <c r="F99" t="b">
        <v>1</v>
      </c>
      <c r="G99">
        <v>100</v>
      </c>
      <c r="H99">
        <v>98.082913829284223</v>
      </c>
      <c r="J99" t="b">
        <v>1</v>
      </c>
      <c r="K99" t="b">
        <v>1</v>
      </c>
      <c r="L99">
        <v>94.785072927859403</v>
      </c>
      <c r="M99">
        <v>93.703944911865321</v>
      </c>
    </row>
    <row r="100" spans="5:13">
      <c r="E100" t="b">
        <v>0</v>
      </c>
      <c r="F100" t="b">
        <v>1</v>
      </c>
      <c r="G100">
        <v>100</v>
      </c>
      <c r="H100">
        <v>106.61069411040984</v>
      </c>
      <c r="J100" t="b">
        <v>1</v>
      </c>
      <c r="K100" t="b">
        <v>1</v>
      </c>
      <c r="L100">
        <v>94.907272969854887</v>
      </c>
      <c r="M100">
        <v>96.392431579431303</v>
      </c>
    </row>
    <row r="101" spans="5:13">
      <c r="E101" t="b">
        <v>1</v>
      </c>
      <c r="F101" t="b">
        <v>1</v>
      </c>
      <c r="G101">
        <v>95.29174829947614</v>
      </c>
      <c r="H101">
        <v>94.378983424209267</v>
      </c>
      <c r="J101" t="b">
        <v>1</v>
      </c>
      <c r="K101" t="b">
        <v>1</v>
      </c>
      <c r="L101">
        <v>95.446867253895178</v>
      </c>
      <c r="M101">
        <v>103.01080723602523</v>
      </c>
    </row>
    <row r="102" spans="5:13">
      <c r="E102" t="b">
        <v>1</v>
      </c>
      <c r="F102" t="b">
        <v>1</v>
      </c>
      <c r="G102">
        <v>95.494922375443565</v>
      </c>
      <c r="H102">
        <v>97.07141161706744</v>
      </c>
      <c r="J102" t="b">
        <v>1</v>
      </c>
      <c r="K102" t="b">
        <v>1</v>
      </c>
      <c r="L102">
        <v>99.914662945470155</v>
      </c>
      <c r="M102">
        <v>98.475562211432333</v>
      </c>
    </row>
    <row r="103" spans="5:13">
      <c r="E103" t="b">
        <v>1</v>
      </c>
      <c r="F103" t="b">
        <v>1</v>
      </c>
      <c r="G103">
        <v>98.125902182219576</v>
      </c>
      <c r="H103">
        <v>103.7760386932398</v>
      </c>
      <c r="J103" t="b">
        <v>1</v>
      </c>
      <c r="K103" t="b">
        <v>1</v>
      </c>
      <c r="L103">
        <v>99.807387626811135</v>
      </c>
      <c r="M103">
        <v>101.15245297521054</v>
      </c>
    </row>
    <row r="104" spans="5:13">
      <c r="E104" t="b">
        <v>1</v>
      </c>
      <c r="F104" t="b">
        <v>1</v>
      </c>
      <c r="G104">
        <v>100</v>
      </c>
      <c r="H104">
        <v>89.245897737032308</v>
      </c>
      <c r="J104" t="b">
        <v>1</v>
      </c>
      <c r="K104" t="b">
        <v>1</v>
      </c>
      <c r="L104">
        <v>100</v>
      </c>
      <c r="M104">
        <v>107.5342916970645</v>
      </c>
    </row>
    <row r="105" spans="5:13">
      <c r="E105" t="b">
        <v>1</v>
      </c>
      <c r="F105" t="b">
        <v>1</v>
      </c>
      <c r="G105">
        <v>100</v>
      </c>
      <c r="H105">
        <v>91.992209320800882</v>
      </c>
      <c r="J105" t="b">
        <v>1</v>
      </c>
      <c r="K105" t="b">
        <v>1</v>
      </c>
      <c r="L105">
        <v>99.010127982807958</v>
      </c>
      <c r="M105">
        <v>97.2479464021783</v>
      </c>
    </row>
    <row r="106" spans="5:13">
      <c r="E106" t="b">
        <v>1</v>
      </c>
      <c r="F106" t="b">
        <v>1</v>
      </c>
      <c r="G106">
        <v>100</v>
      </c>
      <c r="H106">
        <v>100.38393899064025</v>
      </c>
      <c r="J106" t="b">
        <v>1</v>
      </c>
      <c r="K106" t="b">
        <v>1</v>
      </c>
      <c r="L106">
        <v>99.033723914391331</v>
      </c>
      <c r="M106">
        <v>99.936433069744282</v>
      </c>
    </row>
    <row r="107" spans="5:13">
      <c r="E107" t="b">
        <v>1</v>
      </c>
      <c r="F107" t="b">
        <v>1</v>
      </c>
      <c r="G107">
        <v>94.785072927859403</v>
      </c>
      <c r="H107">
        <v>93.703944911865321</v>
      </c>
      <c r="J107" t="b">
        <v>1</v>
      </c>
      <c r="K107" t="b">
        <v>1</v>
      </c>
      <c r="L107">
        <v>98.22824451133144</v>
      </c>
      <c r="M107">
        <v>106.55480872633822</v>
      </c>
    </row>
    <row r="108" spans="5:13">
      <c r="E108" t="b">
        <v>1</v>
      </c>
      <c r="F108" t="b">
        <v>1</v>
      </c>
      <c r="G108">
        <v>94.907272969854887</v>
      </c>
      <c r="H108">
        <v>96.392431579431303</v>
      </c>
    </row>
    <row r="109" spans="5:13">
      <c r="E109" t="b">
        <v>1</v>
      </c>
      <c r="F109" t="b">
        <v>1</v>
      </c>
      <c r="G109">
        <v>95.446867253895178</v>
      </c>
      <c r="H109">
        <v>103.01080723602523</v>
      </c>
    </row>
    <row r="110" spans="5:13">
      <c r="E110" t="b">
        <v>0</v>
      </c>
      <c r="F110" t="b">
        <v>1</v>
      </c>
      <c r="G110">
        <v>100</v>
      </c>
      <c r="H110">
        <v>97.764493530523723</v>
      </c>
    </row>
    <row r="111" spans="5:13">
      <c r="E111" t="b">
        <v>0</v>
      </c>
      <c r="F111" t="b">
        <v>1</v>
      </c>
      <c r="G111">
        <v>100</v>
      </c>
      <c r="H111">
        <v>100.47605602294446</v>
      </c>
    </row>
    <row r="112" spans="5:13">
      <c r="E112" t="b">
        <v>0</v>
      </c>
      <c r="F112" t="b">
        <v>1</v>
      </c>
      <c r="G112">
        <v>100</v>
      </c>
      <c r="H112">
        <v>107.65204881848823</v>
      </c>
    </row>
    <row r="113" spans="5:13">
      <c r="E113" t="b">
        <v>1</v>
      </c>
      <c r="F113" t="b">
        <v>1</v>
      </c>
      <c r="G113">
        <v>99.914662945470155</v>
      </c>
      <c r="H113">
        <v>98.475562211432333</v>
      </c>
      <c r="J113" t="s">
        <v>317</v>
      </c>
      <c r="K113">
        <f>COUNT(K4:K110)</f>
        <v>0</v>
      </c>
      <c r="L113">
        <f>COUNT(L4:L110)</f>
        <v>104</v>
      </c>
      <c r="M113">
        <f>COUNT(M4:M110)</f>
        <v>104</v>
      </c>
    </row>
    <row r="114" spans="5:13">
      <c r="E114" t="b">
        <v>1</v>
      </c>
      <c r="F114" t="b">
        <v>1</v>
      </c>
      <c r="G114">
        <v>99.807387626811135</v>
      </c>
      <c r="H114">
        <v>101.15245297521054</v>
      </c>
      <c r="J114" t="s">
        <v>321</v>
      </c>
      <c r="K114">
        <f>MAX(K4:K110)</f>
        <v>0</v>
      </c>
      <c r="L114">
        <f>MAX(L4:L110)</f>
        <v>100</v>
      </c>
      <c r="M114">
        <f>MAX(M4:M110)</f>
        <v>107.5342916970645</v>
      </c>
    </row>
    <row r="115" spans="5:13">
      <c r="E115" t="b">
        <v>1</v>
      </c>
      <c r="F115" t="b">
        <v>1</v>
      </c>
      <c r="G115">
        <v>100</v>
      </c>
      <c r="H115">
        <v>107.5342916970645</v>
      </c>
    </row>
    <row r="116" spans="5:13">
      <c r="E116" t="b">
        <v>0</v>
      </c>
      <c r="F116" t="b">
        <v>1</v>
      </c>
      <c r="G116">
        <v>100</v>
      </c>
      <c r="H116">
        <v>99.60352539665071</v>
      </c>
    </row>
    <row r="117" spans="5:13">
      <c r="E117" t="b">
        <v>0</v>
      </c>
      <c r="F117" t="b">
        <v>1</v>
      </c>
      <c r="G117">
        <v>100</v>
      </c>
      <c r="H117">
        <v>102.2489324436239</v>
      </c>
    </row>
    <row r="118" spans="5:13">
      <c r="E118" t="b">
        <v>0</v>
      </c>
      <c r="F118" t="b">
        <v>1</v>
      </c>
      <c r="G118">
        <v>100</v>
      </c>
      <c r="H118">
        <v>108.08963665015594</v>
      </c>
    </row>
    <row r="119" spans="5:13">
      <c r="E119" t="b">
        <v>0</v>
      </c>
      <c r="F119" t="b">
        <v>1</v>
      </c>
      <c r="G119">
        <v>100</v>
      </c>
      <c r="H119">
        <v>95.333713997614609</v>
      </c>
    </row>
    <row r="120" spans="5:13">
      <c r="E120" t="b">
        <v>0</v>
      </c>
      <c r="F120" t="b">
        <v>1</v>
      </c>
      <c r="G120">
        <v>100</v>
      </c>
      <c r="H120">
        <v>98.082913829284223</v>
      </c>
    </row>
    <row r="121" spans="5:13">
      <c r="E121" t="b">
        <v>0</v>
      </c>
      <c r="F121" t="b">
        <v>1</v>
      </c>
      <c r="G121">
        <v>100</v>
      </c>
      <c r="H121">
        <v>106.61069411040984</v>
      </c>
    </row>
    <row r="122" spans="5:13">
      <c r="E122" t="b">
        <v>0</v>
      </c>
      <c r="F122" t="b">
        <v>1</v>
      </c>
      <c r="G122">
        <v>100</v>
      </c>
      <c r="H122">
        <v>98.447321982202979</v>
      </c>
    </row>
    <row r="123" spans="5:13">
      <c r="E123" t="b">
        <v>0</v>
      </c>
      <c r="F123" t="b">
        <v>1</v>
      </c>
      <c r="G123">
        <v>100</v>
      </c>
      <c r="H123">
        <v>101.13975017506115</v>
      </c>
    </row>
    <row r="124" spans="5:13">
      <c r="E124" t="b">
        <v>0</v>
      </c>
      <c r="F124" t="b">
        <v>1</v>
      </c>
      <c r="G124">
        <v>100</v>
      </c>
      <c r="H124">
        <v>107.84437725123351</v>
      </c>
    </row>
    <row r="125" spans="5:13">
      <c r="E125" t="b">
        <v>0</v>
      </c>
      <c r="F125" t="b">
        <v>1</v>
      </c>
      <c r="G125">
        <v>100</v>
      </c>
      <c r="H125">
        <v>95.633415879267432</v>
      </c>
    </row>
    <row r="126" spans="5:13">
      <c r="E126" t="b">
        <v>0</v>
      </c>
      <c r="F126" t="b">
        <v>1</v>
      </c>
      <c r="G126">
        <v>100</v>
      </c>
      <c r="H126">
        <v>98.379727463036005</v>
      </c>
    </row>
    <row r="127" spans="5:13">
      <c r="E127" t="b">
        <v>0</v>
      </c>
      <c r="F127" t="b">
        <v>1</v>
      </c>
      <c r="G127">
        <v>100</v>
      </c>
      <c r="H127">
        <v>106.77145713287538</v>
      </c>
    </row>
    <row r="128" spans="5:13">
      <c r="E128" t="b">
        <v>1</v>
      </c>
      <c r="F128" t="b">
        <v>1</v>
      </c>
      <c r="G128">
        <v>99.010127982807958</v>
      </c>
      <c r="H128">
        <v>97.2479464021783</v>
      </c>
    </row>
    <row r="129" spans="5:8">
      <c r="E129" t="b">
        <v>1</v>
      </c>
      <c r="F129" t="b">
        <v>1</v>
      </c>
      <c r="G129">
        <v>99.033723914391331</v>
      </c>
      <c r="H129">
        <v>99.936433069744282</v>
      </c>
    </row>
    <row r="130" spans="5:8">
      <c r="E130" t="b">
        <v>1</v>
      </c>
      <c r="F130" t="b">
        <v>1</v>
      </c>
      <c r="G130">
        <v>98.22824451133144</v>
      </c>
      <c r="H130">
        <v>106.55480872633822</v>
      </c>
    </row>
    <row r="131" spans="5:8">
      <c r="E131" t="b">
        <v>0</v>
      </c>
      <c r="F131" t="b">
        <v>1</v>
      </c>
      <c r="G131">
        <v>100</v>
      </c>
      <c r="H131">
        <v>97.764493530523723</v>
      </c>
    </row>
    <row r="132" spans="5:8">
      <c r="E132" t="b">
        <v>0</v>
      </c>
      <c r="F132" t="b">
        <v>1</v>
      </c>
      <c r="G132">
        <v>100</v>
      </c>
      <c r="H132">
        <v>100.47605602294446</v>
      </c>
    </row>
    <row r="133" spans="5:8">
      <c r="E133" t="b">
        <v>0</v>
      </c>
      <c r="F133" t="b">
        <v>1</v>
      </c>
      <c r="G133">
        <v>100</v>
      </c>
      <c r="H133">
        <v>107.65204881848823</v>
      </c>
    </row>
    <row r="136" spans="5:8">
      <c r="E136" t="s">
        <v>317</v>
      </c>
      <c r="F136">
        <f>COUNT(F4:F133)</f>
        <v>0</v>
      </c>
      <c r="G136">
        <f t="shared" ref="G136:H136" si="0">COUNT(G4:G133)</f>
        <v>128</v>
      </c>
      <c r="H136">
        <f t="shared" si="0"/>
        <v>128</v>
      </c>
    </row>
    <row r="137" spans="5:8">
      <c r="E137" t="s">
        <v>321</v>
      </c>
      <c r="F137">
        <f>MAX(F4:F133)</f>
        <v>0</v>
      </c>
      <c r="G137">
        <f>MAX(G4:G133)</f>
        <v>100</v>
      </c>
      <c r="H137">
        <f>MAX(H4:H133)</f>
        <v>108.08963665015594</v>
      </c>
    </row>
  </sheetData>
  <autoFilter ref="E3:H1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VFS_datapoints</vt:lpstr>
      <vt:lpstr>data_Sabbagh</vt:lpstr>
    </vt:vector>
  </TitlesOfParts>
  <Company>Dr. Knoell Consult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Reichenberger</dc:creator>
  <cp:lastModifiedBy>s.reichenberger</cp:lastModifiedBy>
  <dcterms:created xsi:type="dcterms:W3CDTF">2017-04-21T14:15:00Z</dcterms:created>
  <dcterms:modified xsi:type="dcterms:W3CDTF">2017-04-26T11:13:27Z</dcterms:modified>
</cp:coreProperties>
</file>