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9218299_student_uc_pt/Documents/Year 2/1st Semester/TInf/PL2/"/>
    </mc:Choice>
  </mc:AlternateContent>
  <xr:revisionPtr revIDLastSave="150" documentId="8_{F4F488C7-D83D-4253-A9F3-0BBF26CEC864}" xr6:coauthVersionLast="46" xr6:coauthVersionMax="46" xr10:uidLastSave="{ACC98EA2-CBD6-45B1-86CF-DE48065E9AF2}"/>
  <bookViews>
    <workbookView xWindow="-14415" yWindow="1770" windowWidth="17640" windowHeight="10395" firstSheet="1" activeTab="1" xr2:uid="{3EE9C335-AC46-4D50-BC13-696624DE283D}"/>
  </bookViews>
  <sheets>
    <sheet name="BZip2" sheetId="1" r:id="rId1"/>
    <sheet name="LZMA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3" l="1"/>
  <c r="E31" i="3"/>
  <c r="D31" i="3"/>
  <c r="C31" i="3"/>
  <c r="R23" i="3"/>
  <c r="Q23" i="3"/>
  <c r="P23" i="3"/>
  <c r="O23" i="3"/>
  <c r="L23" i="3"/>
  <c r="K23" i="3"/>
  <c r="J23" i="3"/>
  <c r="I23" i="3"/>
  <c r="F23" i="3"/>
  <c r="E23" i="3"/>
  <c r="D23" i="3"/>
  <c r="C23" i="3"/>
  <c r="R15" i="3"/>
  <c r="Q15" i="3"/>
  <c r="P15" i="3"/>
  <c r="O15" i="3"/>
  <c r="L15" i="3"/>
  <c r="K15" i="3"/>
  <c r="J15" i="3"/>
  <c r="I15" i="3"/>
  <c r="F15" i="3"/>
  <c r="E15" i="3"/>
  <c r="D15" i="3"/>
  <c r="C15" i="3"/>
  <c r="R7" i="3"/>
  <c r="Q7" i="3"/>
  <c r="P7" i="3"/>
  <c r="O7" i="3"/>
  <c r="L7" i="3"/>
  <c r="K7" i="3"/>
  <c r="J7" i="3"/>
  <c r="I7" i="3"/>
  <c r="F7" i="3" l="1"/>
  <c r="E7" i="3"/>
  <c r="D7" i="3"/>
  <c r="C7" i="3"/>
  <c r="R21" i="1"/>
  <c r="Q21" i="1"/>
  <c r="P21" i="1"/>
  <c r="O21" i="1"/>
  <c r="L21" i="1"/>
  <c r="K21" i="1"/>
  <c r="J21" i="1"/>
  <c r="I21" i="1"/>
  <c r="F21" i="1"/>
  <c r="E21" i="1"/>
  <c r="D21" i="1"/>
  <c r="C21" i="1"/>
  <c r="R14" i="1"/>
  <c r="Q14" i="1"/>
  <c r="P14" i="1"/>
  <c r="O14" i="1"/>
  <c r="L14" i="1"/>
  <c r="K14" i="1"/>
  <c r="J14" i="1"/>
  <c r="I14" i="1"/>
  <c r="F14" i="1"/>
  <c r="E14" i="1"/>
  <c r="D14" i="1"/>
  <c r="C14" i="1"/>
  <c r="R7" i="1"/>
  <c r="Q7" i="1"/>
  <c r="P7" i="1"/>
  <c r="O7" i="1"/>
  <c r="L7" i="1"/>
  <c r="K7" i="1"/>
  <c r="J7" i="1"/>
  <c r="I7" i="1"/>
  <c r="F7" i="1"/>
  <c r="D7" i="1"/>
  <c r="C7" i="1"/>
</calcChain>
</file>

<file path=xl/sharedStrings.xml><?xml version="1.0" encoding="utf-8"?>
<sst xmlns="http://schemas.openxmlformats.org/spreadsheetml/2006/main" count="191" uniqueCount="29">
  <si>
    <t>CL 1</t>
  </si>
  <si>
    <t>CL 2</t>
  </si>
  <si>
    <t>CL 3</t>
  </si>
  <si>
    <t>Runs</t>
  </si>
  <si>
    <t>landscape</t>
  </si>
  <si>
    <t>zebra</t>
  </si>
  <si>
    <t>egg</t>
  </si>
  <si>
    <t>pattern</t>
  </si>
  <si>
    <t>1st Run</t>
  </si>
  <si>
    <t>2nd Run</t>
  </si>
  <si>
    <t>3rd Run</t>
  </si>
  <si>
    <t>Average</t>
  </si>
  <si>
    <t>1.47</t>
  </si>
  <si>
    <t>CL 4</t>
  </si>
  <si>
    <t>CL 5</t>
  </si>
  <si>
    <t>CL 6</t>
  </si>
  <si>
    <t>CL 7</t>
  </si>
  <si>
    <t>CL 8</t>
  </si>
  <si>
    <t>CL 9</t>
  </si>
  <si>
    <t>Preset 0</t>
  </si>
  <si>
    <t>Preset 1</t>
  </si>
  <si>
    <t>Preset 2</t>
  </si>
  <si>
    <t>Preset 3</t>
  </si>
  <si>
    <t>Preset 4</t>
  </si>
  <si>
    <t>Preset 5</t>
  </si>
  <si>
    <t>Preset 6</t>
  </si>
  <si>
    <t>Preset 7</t>
  </si>
  <si>
    <t>Preset 8</t>
  </si>
  <si>
    <t>Preset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</si>
</sst>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7FBC8-A904-47DF-952D-1BF9BDDD2AA0}" name="Tabela3" displayName="Tabela3" ref="B3:F7" totalsRowCount="1">
  <autoFilter ref="B3:F6" xr:uid="{84247A24-AE38-4198-A0E6-050AE2E9A4A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F09F9B0-C525-4669-A30D-83076462974F}" name="Runs" totalsRowLabel="Average"/>
    <tableColumn id="2" xr3:uid="{995D0FAE-930F-4CA3-B109-EFE35BCEB3FA}" name="landscape" totalsRowFunction="average"/>
    <tableColumn id="3" xr3:uid="{06DB6C53-D5E1-4B0F-9599-000DF7346D13}" name="zebra" totalsRowFunction="average"/>
    <tableColumn id="4" xr3:uid="{5FF0F6F5-5176-4AC4-ABC3-6FE99148E8A0}" name="egg" totalsRowLabel="1.47"/>
    <tableColumn id="5" xr3:uid="{C89458B4-E17E-4992-A894-250A3E9A7F0C}" name="pattern" totalsRowFunction="average"/>
  </tableColumns>
  <tableStyleInfo name="TableStyleDark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7034FD-2B8C-4EA5-B40A-E77FCD839E1C}" name="Tabela36" displayName="Tabela36" ref="H3:L7" totalsRowCount="1">
  <autoFilter ref="H3:L6" xr:uid="{CB33FEE4-A269-46F2-9685-9BFCB4C205C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39F81D7-DD44-4C77-B773-AA06ACBB77BE}" name="Runs" totalsRowLabel="Average"/>
    <tableColumn id="2" xr3:uid="{AE21D729-FE06-4878-8DB5-972335A47386}" name="landscape" totalsRowFunction="average"/>
    <tableColumn id="3" xr3:uid="{95FD08EB-7008-4823-BA73-C8511231A6E0}" name="zebra" totalsRowFunction="average"/>
    <tableColumn id="4" xr3:uid="{42C4F102-51BF-401F-90BD-7BC76D7EEE1A}" name="egg" totalsRowFunction="average"/>
    <tableColumn id="5" xr3:uid="{BA3D66C0-39B2-4780-9EFC-884A1378C658}" name="pattern" totalsRowFunction="average"/>
  </tableColumns>
  <tableStyleInfo name="TableStyleDark1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665CE7-AA24-4DCD-B667-100D02CBC22E}" name="Tabela367" displayName="Tabela367" ref="N3:R7" totalsRowCount="1">
  <autoFilter ref="N3:R6" xr:uid="{040FAFA0-5898-4D1F-B1FE-893F0F9EAB4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161CA2E-507F-4ADD-9FBD-7918F420B072}" name="Runs" totalsRowLabel="Average"/>
    <tableColumn id="2" xr3:uid="{8C7B4C76-6C97-4868-8457-B4C575538C02}" name="landscape" totalsRowFunction="average"/>
    <tableColumn id="3" xr3:uid="{169389EA-A4FD-4B5D-951E-85A59650C70B}" name="zebra" totalsRowFunction="average"/>
    <tableColumn id="4" xr3:uid="{EEC5CC87-4A29-44DC-81C5-8F585B994B52}" name="egg" totalsRowFunction="average"/>
    <tableColumn id="5" xr3:uid="{7399BB17-159B-4B34-8404-5F99778C5479}" name="pattern" totalsRowFunction="average"/>
  </tableColumns>
  <tableStyleInfo name="TableStyleDark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B2363C-5793-4BB6-8D10-F35CA088966B}" name="Tabela38" displayName="Tabela38" ref="B10:F14" totalsRowCount="1">
  <autoFilter ref="B10:F13" xr:uid="{3F57641D-3ED2-4B70-A0E1-3EAD66F28FF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77E6965-FD29-48C7-9EAF-B31F5332C47F}" name="Runs" totalsRowLabel="Average"/>
    <tableColumn id="2" xr3:uid="{D641E508-3758-4F0C-BC0E-93EA8F06A401}" name="landscape" totalsRowFunction="average"/>
    <tableColumn id="3" xr3:uid="{EC3CE1BC-6183-45E1-92BD-9242EC5E2A54}" name="zebra" totalsRowFunction="average"/>
    <tableColumn id="4" xr3:uid="{B9BFD77D-AF96-400E-B0B8-465073D2CB81}" name="egg" totalsRowFunction="average"/>
    <tableColumn id="5" xr3:uid="{737B385B-861F-4A80-BD93-8F590A58FF67}" name="pattern" totalsRowFunction="average"/>
  </tableColumns>
  <tableStyleInfo name="TableStyleDark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6200D2-9658-4F59-ADD2-7F0568C597C2}" name="Tabela389" displayName="Tabela389" ref="H10:L14" totalsRowCount="1">
  <autoFilter ref="H10:L13" xr:uid="{80463A1D-1350-4CF4-86B3-74161BEBDBD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8BC3C78-9BB0-4360-AA51-5981F14B462E}" name="Runs" totalsRowLabel="Average"/>
    <tableColumn id="2" xr3:uid="{0B1BA11E-A532-47F0-8341-627E0E5FD534}" name="landscape" totalsRowFunction="average"/>
    <tableColumn id="3" xr3:uid="{C6F0EAB8-D196-48AE-AFD7-7D8E7612CC1F}" name="zebra" totalsRowFunction="average"/>
    <tableColumn id="4" xr3:uid="{DAE4E742-95DE-430E-9F23-7812C6C9DB6D}" name="egg" totalsRowFunction="average"/>
    <tableColumn id="5" xr3:uid="{D591A40D-18D0-4EC0-B9BB-F614485140F9}" name="pattern" totalsRowFunction="average"/>
  </tableColumns>
  <tableStyleInfo name="TableStyleDark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5FF9C7-4571-498D-82F2-D6886B3335FE}" name="Tabela38910" displayName="Tabela38910" ref="N10:R14" totalsRowCount="1">
  <autoFilter ref="N10:R13" xr:uid="{2700F54E-AB1F-4E19-B04E-5B9B4C4F89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308FEAF-18A7-4C03-AE92-2085D168BFEA}" name="Runs" totalsRowLabel="Average"/>
    <tableColumn id="2" xr3:uid="{0519943E-0899-42ED-9ADF-5081EEBE145E}" name="landscape" totalsRowFunction="average"/>
    <tableColumn id="3" xr3:uid="{B51D1854-113C-40EF-9E13-9BA6C6DC2CE8}" name="zebra" totalsRowFunction="average"/>
    <tableColumn id="4" xr3:uid="{1531751F-6B7A-4256-ACD2-8A6B9EB1CF74}" name="egg" totalsRowFunction="average"/>
    <tableColumn id="5" xr3:uid="{4C4BB86F-0235-44A2-AE59-E71768A6D9ED}" name="pattern" totalsRowFunction="average"/>
  </tableColumns>
  <tableStyleInfo name="TableStyleDark1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DACCD0A-ABDA-4A5F-95F3-46DAA1AAE124}" name="Tabela3891011" displayName="Tabela3891011" ref="B17:F21" totalsRowCount="1">
  <autoFilter ref="B17:F20" xr:uid="{EC360395-CF8D-4C1E-812C-AB9F7FA67BE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4FC128F-8821-4161-BAAE-2FB1D2AA765E}" name="Runs" totalsRowLabel="Average"/>
    <tableColumn id="2" xr3:uid="{CBD7F0E9-5FCE-4409-A4E0-1C79DDDDB231}" name="landscape" totalsRowFunction="average"/>
    <tableColumn id="3" xr3:uid="{2CAEE37C-4C42-418D-B262-763B90D68B0C}" name="zebra" totalsRowFunction="average"/>
    <tableColumn id="4" xr3:uid="{E3653993-9335-471B-AFC5-4EE350B6092B}" name="egg" totalsRowFunction="average"/>
    <tableColumn id="5" xr3:uid="{E7F9B40E-DD44-4040-9271-89205F734C9E}" name="pattern" totalsRowFunction="average"/>
  </tableColumns>
  <tableStyleInfo name="TableStyleDark1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948B4F-338E-4B3A-9EDB-46B99696C2A2}" name="Tabela389101112" displayName="Tabela389101112" ref="H17:L21" totalsRowCount="1">
  <autoFilter ref="H17:L20" xr:uid="{E23E68B0-4E1A-4249-93A2-316CA0356E3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95E61E5-5D53-4420-9CEF-CA92910F420D}" name="Runs" totalsRowLabel="Average"/>
    <tableColumn id="2" xr3:uid="{91A112B4-D570-4183-A73A-284AD10FFA46}" name="landscape" totalsRowFunction="average"/>
    <tableColumn id="3" xr3:uid="{3EA9736B-741E-4E09-BE9D-345E1F831664}" name="zebra" totalsRowFunction="average"/>
    <tableColumn id="4" xr3:uid="{BF8D069D-CB5C-409E-847F-C2D8B4D97EAB}" name="egg" totalsRowFunction="average"/>
    <tableColumn id="5" xr3:uid="{FA695A77-285F-4479-8347-D24BCB65BAE8}" name="pattern" totalsRowFunction="average"/>
  </tableColumns>
  <tableStyleInfo name="TableStyleDark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D7934F-05E7-4DA8-BA90-CF8E1B6E5B1F}" name="Tabela389101113" displayName="Tabela389101113" ref="N17:R21" totalsRowCount="1">
  <autoFilter ref="N17:R20" xr:uid="{C58B567E-EDE0-425C-87C0-EEAA6BF5A49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13A351E-B745-4546-8E0C-68AC31AB93A9}" name="Runs" totalsRowLabel="Average"/>
    <tableColumn id="2" xr3:uid="{576CF24F-A40B-4367-8ECA-B695EDE433A2}" name="landscape" totalsRowFunction="average"/>
    <tableColumn id="3" xr3:uid="{0FD9B2BC-63B0-424D-B714-EE9E96F40296}" name="zebra" totalsRowFunction="average"/>
    <tableColumn id="4" xr3:uid="{AC62BAD6-5557-4F03-80F9-09DF49DBC841}" name="egg" totalsRowFunction="average"/>
    <tableColumn id="5" xr3:uid="{DF484D25-466A-4F2B-8CD9-41A5F007F90C}" name="pattern" totalsRowFunction="average"/>
  </tableColumns>
  <tableStyleInfo name="TableStyleDark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4BD264-4D66-4110-8F2C-4F847E93C694}" name="Tabela314" displayName="Tabela314" ref="B3:F7" totalsRowCount="1">
  <autoFilter ref="B3:F6" xr:uid="{40E47538-AD92-4205-BFA8-278214C295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51F778B-AB67-41F7-A0D5-DA118C3D1AF8}" name="Runs" totalsRowLabel="Average"/>
    <tableColumn id="2" xr3:uid="{C5B987C4-F6D6-44D9-9486-FBF0E1131EDB}" name="landscape" totalsRowFunction="average"/>
    <tableColumn id="3" xr3:uid="{B7E3D6DB-5ED2-4BDE-9215-081B5FE96011}" name="zebra" totalsRowFunction="average"/>
    <tableColumn id="4" xr3:uid="{7B154A72-4F56-4F40-901A-938F19AEF52A}" name="egg" totalsRowFunction="average"/>
    <tableColumn id="5" xr3:uid="{EEE4E9A1-72AC-428E-9A10-D01526D32109}" name="pattern" totalsRowFunction="average"/>
  </tableColumns>
  <tableStyleInfo name="TableStyleDark1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05044-2B1E-468E-B2A9-48A73DD4EF36}" name="Tabela3142" displayName="Tabela3142" ref="H3:L7" totalsRowCount="1">
  <autoFilter ref="H3:L6" xr:uid="{CDE6E483-A5B9-4F20-BF9E-E5B57DA09ACD}"/>
  <tableColumns count="5">
    <tableColumn id="1" xr3:uid="{F2B00E5B-0ECC-455B-9B1C-D882116C8960}" name="Runs" totalsRowLabel="Average"/>
    <tableColumn id="2" xr3:uid="{CAE05FF1-93AB-4B8E-AD51-79846224AE93}" name="landscape" totalsRowFunction="average"/>
    <tableColumn id="3" xr3:uid="{2A3119AA-818C-48DA-A083-7884081E1012}" name="zebra" totalsRowFunction="average"/>
    <tableColumn id="4" xr3:uid="{2F7C3764-BADF-47FC-9B4D-6CCBFF0D3393}" name="egg" totalsRowFunction="average"/>
    <tableColumn id="5" xr3:uid="{0E67F01F-1BC7-4E89-ADD1-3528CC076574}" name="pattern" totalsRowFunction="average"/>
  </tableColumns>
  <tableStyleInfo name="TableStyleDark1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87E75-5184-463B-977E-B4FAFCE53080}" name="Tabela3143" displayName="Tabela3143" ref="N3:R7" totalsRowCount="1">
  <autoFilter ref="N3:R6" xr:uid="{C7E2A88E-0CFE-4DF5-972F-F5DDB5D9A2F2}"/>
  <tableColumns count="5">
    <tableColumn id="1" xr3:uid="{6597F45A-41E1-4C1A-8BB4-8C345F24788B}" name="Runs" totalsRowLabel="Average"/>
    <tableColumn id="2" xr3:uid="{5AB1B3D6-7F8A-498F-94C2-8B56BDB203A8}" name="landscape" totalsRowFunction="average"/>
    <tableColumn id="3" xr3:uid="{6DDD6975-5D4B-4887-85F0-3DA8B7E7FCD7}" name="zebra" totalsRowFunction="average"/>
    <tableColumn id="4" xr3:uid="{95C589C8-DB4E-4376-AFF3-3B6C0BB63EB6}" name="egg" totalsRowFunction="average"/>
    <tableColumn id="5" xr3:uid="{7E3BB704-0C12-4877-A8FB-232001E99D16}" name="pattern" totalsRowFunction="average"/>
  </tableColumns>
  <tableStyleInfo name="TableStyleDark1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014C5-F608-4EC2-8493-5256E9A226C2}" name="Tabela3145" displayName="Tabela3145" ref="B11:F15" totalsRowCount="1">
  <autoFilter ref="B11:F14" xr:uid="{E4CF777D-12D7-4DE4-9877-35C387D38087}"/>
  <tableColumns count="5">
    <tableColumn id="1" xr3:uid="{49978645-246A-4ED5-805D-DA69B9DCCA99}" name="Runs" totalsRowLabel="Average"/>
    <tableColumn id="2" xr3:uid="{74B49BD5-A478-40F0-BA58-F3293F13B1FC}" name="landscape" totalsRowFunction="average"/>
    <tableColumn id="3" xr3:uid="{A5AE959A-2396-40F8-AA2E-A26718200328}" name="zebra" totalsRowFunction="average"/>
    <tableColumn id="4" xr3:uid="{DEE8BF36-FB09-49A0-AA66-AA0494E7A74C}" name="egg" totalsRowFunction="average"/>
    <tableColumn id="5" xr3:uid="{8A249257-9B4F-45F1-8D8F-EAF64D13B029}" name="pattern" totalsRowFunction="average"/>
  </tableColumns>
  <tableStyleInfo name="TableStyleDark1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40C461-114B-48C7-9020-A99EAAE21FCB}" name="Tabela31415" displayName="Tabela31415" ref="H11:L15" totalsRowCount="1">
  <autoFilter ref="H11:L14" xr:uid="{0386D347-0BAF-4911-B2B5-E97136C89E47}"/>
  <tableColumns count="5">
    <tableColumn id="1" xr3:uid="{D218CBDE-0836-4DDC-A849-C49433074F40}" name="Runs" totalsRowLabel="Average"/>
    <tableColumn id="2" xr3:uid="{7D0539FB-8FA0-483F-967F-4E36191EAB4E}" name="landscape" totalsRowFunction="average"/>
    <tableColumn id="3" xr3:uid="{91EA1317-23DE-4E88-910A-7C642976365D}" name="zebra" totalsRowFunction="average"/>
    <tableColumn id="4" xr3:uid="{9051EE07-BCF3-4B3C-A625-35689EC2C375}" name="egg" totalsRowFunction="average"/>
    <tableColumn id="5" xr3:uid="{99DB6438-6415-4667-AEA9-5944DE4F804D}" name="pattern" totalsRowFunction="average"/>
  </tableColumns>
  <tableStyleInfo name="TableStyleDark1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EE2DFA6-5284-4A8F-8A54-D8C13EDE9477}" name="Tabela31416" displayName="Tabela31416" ref="N11:R15" totalsRowCount="1">
  <autoFilter ref="N11:R14" xr:uid="{42B27A2D-2145-4AEE-9004-175C5FA9C128}"/>
  <tableColumns count="5">
    <tableColumn id="1" xr3:uid="{4E818DFD-A60A-45FA-8E3D-BE246568A78F}" name="Runs" totalsRowLabel="Average"/>
    <tableColumn id="2" xr3:uid="{16AF4F7E-A8B3-4E21-A969-CDD1838E879B}" name="landscape" totalsRowFunction="average"/>
    <tableColumn id="3" xr3:uid="{DFC886BE-32F3-43E5-901D-8D8888929CA9}" name="zebra" totalsRowFunction="average"/>
    <tableColumn id="4" xr3:uid="{1A7895BC-F897-4406-9F18-A35427A73822}" name="egg" totalsRowFunction="average"/>
    <tableColumn id="5" xr3:uid="{33EB239F-B9C3-4F08-9436-CD439D4E9ED6}" name="pattern" totalsRowFunction="average"/>
  </tableColumns>
  <tableStyleInfo name="TableStyleDark1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5C8A06B-9518-4C06-AA5D-74A1AC5D07E0}" name="Tabela31417" displayName="Tabela31417" ref="B19:F23" totalsRowCount="1">
  <autoFilter ref="B19:F22" xr:uid="{43557BE1-A862-4026-B4C7-BC122A54D73A}"/>
  <tableColumns count="5">
    <tableColumn id="1" xr3:uid="{DDDB85AD-814E-45DE-B955-4BADE8742AFD}" name="Runs" totalsRowLabel="Average"/>
    <tableColumn id="2" xr3:uid="{919C0D46-C892-4B74-AEBB-E06A09FE7F95}" name="landscape" totalsRowFunction="average"/>
    <tableColumn id="3" xr3:uid="{B93D79C9-9484-4293-AF27-F033A2C0FEE1}" name="zebra" totalsRowFunction="average"/>
    <tableColumn id="4" xr3:uid="{37724570-A0E1-4BEB-9121-32D4D8D5F8E6}" name="egg" totalsRowFunction="average"/>
    <tableColumn id="5" xr3:uid="{6B3CE763-38E0-4BA0-AA13-A4BE9EB4B83B}" name="pattern" totalsRowFunction="average"/>
  </tableColumns>
  <tableStyleInfo name="TableStyleDark1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93253C9-6332-4F67-8D65-3A052C71AFF7}" name="Tabela31418" displayName="Tabela31418" ref="H19:L23" totalsRowCount="1">
  <autoFilter ref="H19:L22" xr:uid="{70B1F6C1-44C4-4B50-A265-86E584BF55BB}"/>
  <tableColumns count="5">
    <tableColumn id="1" xr3:uid="{2A484546-9A8E-44B4-BBEA-886119EF2B4C}" name="Runs" totalsRowLabel="Average"/>
    <tableColumn id="2" xr3:uid="{14F28EA5-E35C-434C-A509-6FF969482A39}" name="landscape" totalsRowFunction="average"/>
    <tableColumn id="3" xr3:uid="{10DE9E8D-38F2-4BA3-86E7-1DBC42488190}" name="zebra" totalsRowFunction="average"/>
    <tableColumn id="4" xr3:uid="{AF0AEFA2-120D-40D6-96FC-52934080728C}" name="egg" totalsRowFunction="average"/>
    <tableColumn id="5" xr3:uid="{EEC6564B-673A-475E-84B2-3DDACA330E6D}" name="pattern" totalsRowFunction="average"/>
  </tableColumns>
  <tableStyleInfo name="TableStyleDark1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81B53D9-2129-49CB-AE43-01C814DA9215}" name="Tabela31419" displayName="Tabela31419" ref="N19:R23" totalsRowCount="1">
  <autoFilter ref="N19:R22" xr:uid="{9948B16C-46E5-4308-B319-ABC3599F8490}"/>
  <tableColumns count="5">
    <tableColumn id="1" xr3:uid="{E11CEE46-FA39-432C-91BB-60FFFBA5EDA8}" name="Runs" totalsRowLabel="Average"/>
    <tableColumn id="2" xr3:uid="{229A7F07-E733-49D3-8C10-4077D78855DC}" name="landscape" totalsRowFunction="average"/>
    <tableColumn id="3" xr3:uid="{1BEB9B89-2C11-483E-827D-D5434DF07AFF}" name="zebra" totalsRowFunction="average"/>
    <tableColumn id="4" xr3:uid="{B9DA0088-22A7-46F8-B85D-CF42B28C98F3}" name="egg" totalsRowFunction="average"/>
    <tableColumn id="5" xr3:uid="{216AE0D5-3548-4464-9A4E-FE612B3DB8B2}" name="pattern" totalsRowFunction="average"/>
  </tableColumns>
  <tableStyleInfo name="TableStyleDark1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B7BBE85-EA9F-4DC4-B89B-57D720966854}" name="Tabela31420" displayName="Tabela31420" ref="B27:F31" totalsRowCount="1">
  <autoFilter ref="B27:F30" xr:uid="{6EBD7480-79C2-406B-A80E-0FBAFBD0C350}"/>
  <tableColumns count="5">
    <tableColumn id="1" xr3:uid="{4066AE09-287D-43B7-A173-05F53A6E8851}" name="Runs" totalsRowLabel="Average"/>
    <tableColumn id="2" xr3:uid="{CF8DDCAC-4D42-4482-8014-435CF7D1F2EE}" name="landscape" totalsRowFunction="average"/>
    <tableColumn id="3" xr3:uid="{4DF1A395-CC15-4E3E-B49F-BF82FA2CCD8D}" name="zebra" totalsRowFunction="average"/>
    <tableColumn id="4" xr3:uid="{C9EA3B71-BC04-4FCF-A72F-F5A3DAB83AAE}" name="egg" totalsRowFunction="average"/>
    <tableColumn id="5" xr3:uid="{AE8BEE31-B462-4BEC-AEEC-6D7A59788243}" name="pattern" totalsRowFunction="average"/>
  </tableColumns>
  <tableStyleInfo name="TableStyleDark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E8F0-DF41-4184-BF52-A411E64539C7}">
  <dimension ref="B2:R21"/>
  <sheetViews>
    <sheetView topLeftCell="B1" zoomScaleNormal="100" workbookViewId="0">
      <selection activeCell="G9" sqref="G9"/>
    </sheetView>
  </sheetViews>
  <sheetFormatPr defaultRowHeight="15"/>
  <cols>
    <col min="1" max="1" width="10.28515625" customWidth="1"/>
    <col min="2" max="2" width="12" customWidth="1"/>
    <col min="3" max="3" width="10.85546875" customWidth="1"/>
    <col min="5" max="5" width="9.7109375" customWidth="1"/>
    <col min="9" max="9" width="10.85546875" customWidth="1"/>
  </cols>
  <sheetData>
    <row r="2" spans="2:18">
      <c r="B2" t="s">
        <v>0</v>
      </c>
      <c r="H2" t="s">
        <v>1</v>
      </c>
      <c r="N2" t="s">
        <v>2</v>
      </c>
    </row>
    <row r="3" spans="2:18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N3" t="s">
        <v>3</v>
      </c>
      <c r="O3" t="s">
        <v>4</v>
      </c>
      <c r="P3" t="s">
        <v>5</v>
      </c>
      <c r="Q3" t="s">
        <v>6</v>
      </c>
      <c r="R3" t="s">
        <v>7</v>
      </c>
    </row>
    <row r="4" spans="2:18">
      <c r="B4" t="s">
        <v>8</v>
      </c>
      <c r="C4">
        <v>1</v>
      </c>
      <c r="D4">
        <v>1.85</v>
      </c>
      <c r="E4">
        <v>2.04</v>
      </c>
      <c r="F4">
        <v>1.0900000000000001</v>
      </c>
      <c r="H4" t="s">
        <v>8</v>
      </c>
      <c r="I4">
        <v>0.95</v>
      </c>
      <c r="J4">
        <v>2.02</v>
      </c>
      <c r="K4">
        <v>1.86</v>
      </c>
      <c r="L4">
        <v>1.86</v>
      </c>
      <c r="N4" t="s">
        <v>8</v>
      </c>
      <c r="O4">
        <v>0.98</v>
      </c>
      <c r="P4">
        <v>2</v>
      </c>
      <c r="Q4">
        <v>2.19</v>
      </c>
      <c r="R4">
        <v>1.3</v>
      </c>
    </row>
    <row r="5" spans="2:18">
      <c r="B5" t="s">
        <v>9</v>
      </c>
      <c r="C5">
        <v>0.96</v>
      </c>
      <c r="D5">
        <v>1.9</v>
      </c>
      <c r="E5">
        <v>2.04</v>
      </c>
      <c r="F5">
        <v>1.1100000000000001</v>
      </c>
      <c r="H5" t="s">
        <v>9</v>
      </c>
      <c r="I5">
        <v>0.98</v>
      </c>
      <c r="J5">
        <v>2.02</v>
      </c>
      <c r="K5">
        <v>1.91</v>
      </c>
      <c r="L5">
        <v>1.1200000000000001</v>
      </c>
      <c r="N5" t="s">
        <v>9</v>
      </c>
      <c r="O5">
        <v>1.07</v>
      </c>
      <c r="P5">
        <v>2.1</v>
      </c>
      <c r="Q5">
        <v>1.99</v>
      </c>
      <c r="R5">
        <v>1.2</v>
      </c>
    </row>
    <row r="6" spans="2:18">
      <c r="B6" t="s">
        <v>10</v>
      </c>
      <c r="C6">
        <v>0.95</v>
      </c>
      <c r="D6">
        <v>1.87</v>
      </c>
      <c r="E6">
        <v>1.88</v>
      </c>
      <c r="F6">
        <v>1.25</v>
      </c>
      <c r="H6" t="s">
        <v>10</v>
      </c>
      <c r="I6">
        <v>1.05</v>
      </c>
      <c r="J6">
        <v>2.06</v>
      </c>
      <c r="K6">
        <v>2.09</v>
      </c>
      <c r="L6">
        <v>1.03</v>
      </c>
      <c r="N6" t="s">
        <v>10</v>
      </c>
      <c r="O6">
        <v>0.98</v>
      </c>
      <c r="P6">
        <v>2.16</v>
      </c>
      <c r="Q6">
        <v>2.09</v>
      </c>
      <c r="R6">
        <v>1.04</v>
      </c>
    </row>
    <row r="7" spans="2:18">
      <c r="B7" t="s">
        <v>11</v>
      </c>
      <c r="C7">
        <f>SUBTOTAL(101,Tabela3[landscape])</f>
        <v>0.97000000000000008</v>
      </c>
      <c r="D7">
        <f>SUBTOTAL(101,Tabela3[zebra])</f>
        <v>1.8733333333333333</v>
      </c>
      <c r="E7" t="s">
        <v>12</v>
      </c>
      <c r="F7">
        <f>SUBTOTAL(101,Tabela3[pattern])</f>
        <v>1.1500000000000001</v>
      </c>
      <c r="H7" t="s">
        <v>11</v>
      </c>
      <c r="I7">
        <f>SUBTOTAL(101,Tabela36[landscape])</f>
        <v>0.99333333333333329</v>
      </c>
      <c r="J7">
        <f>SUBTOTAL(101,Tabela36[zebra])</f>
        <v>2.0333333333333332</v>
      </c>
      <c r="K7">
        <f>SUBTOTAL(101,Tabela36[egg])</f>
        <v>1.9533333333333331</v>
      </c>
      <c r="L7">
        <f>SUBTOTAL(101,Tabela36[pattern])</f>
        <v>1.3366666666666669</v>
      </c>
      <c r="N7" t="s">
        <v>11</v>
      </c>
      <c r="O7">
        <f>SUBTOTAL(101,Tabela367[landscape])</f>
        <v>1.01</v>
      </c>
      <c r="P7">
        <f>SUBTOTAL(101,Tabela367[zebra])</f>
        <v>2.0866666666666664</v>
      </c>
      <c r="Q7">
        <f>SUBTOTAL(101,Tabela367[egg])</f>
        <v>2.09</v>
      </c>
      <c r="R7">
        <f>SUBTOTAL(101,Tabela367[pattern])</f>
        <v>1.18</v>
      </c>
    </row>
    <row r="9" spans="2:18">
      <c r="B9" t="s">
        <v>13</v>
      </c>
      <c r="H9" t="s">
        <v>14</v>
      </c>
      <c r="N9" t="s">
        <v>15</v>
      </c>
    </row>
    <row r="10" spans="2:18">
      <c r="B10" t="s">
        <v>3</v>
      </c>
      <c r="C10" t="s">
        <v>4</v>
      </c>
      <c r="D10" t="s">
        <v>5</v>
      </c>
      <c r="E10" t="s">
        <v>6</v>
      </c>
      <c r="F10" t="s">
        <v>7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</row>
    <row r="11" spans="2:18">
      <c r="B11" t="s">
        <v>8</v>
      </c>
      <c r="C11">
        <v>0.97</v>
      </c>
      <c r="D11">
        <v>2.1</v>
      </c>
      <c r="E11">
        <v>2.1800000000000002</v>
      </c>
      <c r="F11">
        <v>1.21</v>
      </c>
      <c r="H11" t="s">
        <v>8</v>
      </c>
      <c r="I11">
        <v>1.08</v>
      </c>
      <c r="J11">
        <v>2.66</v>
      </c>
      <c r="K11">
        <v>2.1</v>
      </c>
      <c r="L11">
        <v>1.08</v>
      </c>
      <c r="N11" t="s">
        <v>8</v>
      </c>
      <c r="O11">
        <v>2.13</v>
      </c>
      <c r="P11">
        <v>2.27</v>
      </c>
      <c r="Q11">
        <v>2.06</v>
      </c>
      <c r="R11">
        <v>1.47</v>
      </c>
    </row>
    <row r="12" spans="2:18">
      <c r="B12" t="s">
        <v>9</v>
      </c>
      <c r="C12">
        <v>1.1499999999999999</v>
      </c>
      <c r="D12">
        <v>1.66</v>
      </c>
      <c r="E12">
        <v>1.99</v>
      </c>
      <c r="F12">
        <v>1.1100000000000001</v>
      </c>
      <c r="H12" t="s">
        <v>9</v>
      </c>
      <c r="I12">
        <v>1.54</v>
      </c>
      <c r="J12">
        <v>2.42</v>
      </c>
      <c r="K12">
        <v>1.81</v>
      </c>
      <c r="L12">
        <v>1.03</v>
      </c>
      <c r="N12" t="s">
        <v>9</v>
      </c>
      <c r="O12">
        <v>1.2</v>
      </c>
      <c r="P12">
        <v>2</v>
      </c>
      <c r="Q12">
        <v>2.39</v>
      </c>
      <c r="R12">
        <v>1.1599999999999999</v>
      </c>
    </row>
    <row r="13" spans="2:18">
      <c r="B13" t="s">
        <v>10</v>
      </c>
      <c r="C13">
        <v>1.17</v>
      </c>
      <c r="D13">
        <v>1.97</v>
      </c>
      <c r="E13">
        <v>1.99</v>
      </c>
      <c r="F13">
        <v>1.19</v>
      </c>
      <c r="H13" t="s">
        <v>10</v>
      </c>
      <c r="I13">
        <v>1.2</v>
      </c>
      <c r="J13">
        <v>2.11</v>
      </c>
      <c r="K13">
        <v>2.2000000000000002</v>
      </c>
      <c r="L13">
        <v>1.33</v>
      </c>
      <c r="N13" t="s">
        <v>10</v>
      </c>
      <c r="O13">
        <v>1.0900000000000001</v>
      </c>
      <c r="P13">
        <v>2.1</v>
      </c>
      <c r="Q13">
        <v>1.92</v>
      </c>
      <c r="R13">
        <v>1.1200000000000001</v>
      </c>
    </row>
    <row r="14" spans="2:18">
      <c r="B14" t="s">
        <v>11</v>
      </c>
      <c r="C14">
        <f>SUBTOTAL(101,Tabela38[landscape])</f>
        <v>1.0966666666666667</v>
      </c>
      <c r="D14">
        <f>SUBTOTAL(101,Tabela38[zebra])</f>
        <v>1.91</v>
      </c>
      <c r="E14">
        <f>SUBTOTAL(101,Tabela38[egg])</f>
        <v>2.0533333333333332</v>
      </c>
      <c r="F14">
        <f>SUBTOTAL(101,Tabela38[pattern])</f>
        <v>1.1700000000000002</v>
      </c>
      <c r="H14" t="s">
        <v>11</v>
      </c>
      <c r="I14">
        <f>SUBTOTAL(101,Tabela389[landscape])</f>
        <v>1.2733333333333334</v>
      </c>
      <c r="J14">
        <f>SUBTOTAL(101,Tabela389[zebra])</f>
        <v>2.3966666666666665</v>
      </c>
      <c r="K14">
        <f>SUBTOTAL(101,Tabela389[egg])</f>
        <v>2.0366666666666666</v>
      </c>
      <c r="L14">
        <f>SUBTOTAL(101,Tabela389[pattern])</f>
        <v>1.1466666666666667</v>
      </c>
      <c r="N14" t="s">
        <v>11</v>
      </c>
      <c r="O14">
        <f>SUBTOTAL(101,Tabela38910[landscape])</f>
        <v>1.4733333333333334</v>
      </c>
      <c r="P14">
        <f>SUBTOTAL(101,Tabela38910[zebra])</f>
        <v>2.1233333333333331</v>
      </c>
      <c r="Q14">
        <f>SUBTOTAL(101,Tabela38910[egg])</f>
        <v>2.1233333333333335</v>
      </c>
      <c r="R14">
        <f>SUBTOTAL(101,Tabela38910[pattern])</f>
        <v>1.25</v>
      </c>
    </row>
    <row r="16" spans="2:18">
      <c r="B16" t="s">
        <v>16</v>
      </c>
      <c r="H16" t="s">
        <v>17</v>
      </c>
      <c r="N16" t="s">
        <v>18</v>
      </c>
    </row>
    <row r="17" spans="2:18">
      <c r="B17" t="s">
        <v>3</v>
      </c>
      <c r="C17" t="s">
        <v>4</v>
      </c>
      <c r="D17" t="s">
        <v>5</v>
      </c>
      <c r="E17" t="s">
        <v>6</v>
      </c>
      <c r="F17" t="s">
        <v>7</v>
      </c>
      <c r="H17" t="s">
        <v>3</v>
      </c>
      <c r="I17" t="s">
        <v>4</v>
      </c>
      <c r="J17" t="s">
        <v>5</v>
      </c>
      <c r="K17" t="s">
        <v>6</v>
      </c>
      <c r="L17" t="s">
        <v>7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</row>
    <row r="18" spans="2:18">
      <c r="B18" t="s">
        <v>8</v>
      </c>
      <c r="C18">
        <v>1.33</v>
      </c>
      <c r="D18">
        <v>2.63</v>
      </c>
      <c r="E18">
        <v>2.34</v>
      </c>
      <c r="F18">
        <v>1.36</v>
      </c>
      <c r="H18" t="s">
        <v>8</v>
      </c>
      <c r="I18">
        <v>1.17</v>
      </c>
      <c r="J18">
        <v>2.04</v>
      </c>
      <c r="K18">
        <v>2.17</v>
      </c>
      <c r="L18">
        <v>1.22</v>
      </c>
      <c r="N18" t="s">
        <v>8</v>
      </c>
      <c r="O18">
        <v>1.8</v>
      </c>
      <c r="P18">
        <v>2.46</v>
      </c>
      <c r="Q18">
        <v>2.2999999999999998</v>
      </c>
      <c r="R18">
        <v>1.24</v>
      </c>
    </row>
    <row r="19" spans="2:18">
      <c r="B19" t="s">
        <v>9</v>
      </c>
      <c r="C19">
        <v>1.24</v>
      </c>
      <c r="D19">
        <v>2.0499999999999998</v>
      </c>
      <c r="E19">
        <v>2.04</v>
      </c>
      <c r="F19">
        <v>1.06</v>
      </c>
      <c r="H19" t="s">
        <v>9</v>
      </c>
      <c r="I19">
        <v>1.18</v>
      </c>
      <c r="J19">
        <v>2.6</v>
      </c>
      <c r="K19">
        <v>2.5099999999999998</v>
      </c>
      <c r="L19">
        <v>1.1200000000000001</v>
      </c>
      <c r="N19" t="s">
        <v>9</v>
      </c>
      <c r="O19">
        <v>1.19</v>
      </c>
      <c r="P19">
        <v>2.09</v>
      </c>
      <c r="Q19">
        <v>2.2400000000000002</v>
      </c>
      <c r="R19">
        <v>1.32</v>
      </c>
    </row>
    <row r="20" spans="2:18">
      <c r="B20" t="s">
        <v>10</v>
      </c>
      <c r="C20">
        <v>1.1499999999999999</v>
      </c>
      <c r="D20">
        <v>1.97</v>
      </c>
      <c r="E20">
        <v>2.38</v>
      </c>
      <c r="F20">
        <v>1.31</v>
      </c>
      <c r="H20" t="s">
        <v>10</v>
      </c>
      <c r="I20">
        <v>1.17</v>
      </c>
      <c r="J20">
        <v>2.83</v>
      </c>
      <c r="K20">
        <v>2.29</v>
      </c>
      <c r="L20">
        <v>1.26</v>
      </c>
      <c r="N20" t="s">
        <v>10</v>
      </c>
      <c r="O20">
        <v>1.2</v>
      </c>
      <c r="P20">
        <v>2.54</v>
      </c>
      <c r="Q20">
        <v>2.09</v>
      </c>
      <c r="R20">
        <v>1.1499999999999999</v>
      </c>
    </row>
    <row r="21" spans="2:18">
      <c r="B21" t="s">
        <v>11</v>
      </c>
      <c r="C21">
        <f>SUBTOTAL(101,Tabela3891011[landscape])</f>
        <v>1.24</v>
      </c>
      <c r="D21">
        <f>SUBTOTAL(101,Tabela3891011[zebra])</f>
        <v>2.2166666666666663</v>
      </c>
      <c r="E21">
        <f>SUBTOTAL(101,Tabela3891011[egg])</f>
        <v>2.2533333333333334</v>
      </c>
      <c r="F21">
        <f>SUBTOTAL(101,Tabela3891011[pattern])</f>
        <v>1.2433333333333334</v>
      </c>
      <c r="H21" t="s">
        <v>11</v>
      </c>
      <c r="I21">
        <f>SUBTOTAL(101,Tabela389101112[landscape])</f>
        <v>1.1733333333333331</v>
      </c>
      <c r="J21">
        <f>SUBTOTAL(101,Tabela389101112[zebra])</f>
        <v>2.4900000000000002</v>
      </c>
      <c r="K21">
        <f>SUBTOTAL(101,Tabela389101112[egg])</f>
        <v>2.3233333333333333</v>
      </c>
      <c r="L21">
        <f>SUBTOTAL(101,Tabela389101112[pattern])</f>
        <v>1.2</v>
      </c>
      <c r="N21" t="s">
        <v>11</v>
      </c>
      <c r="O21">
        <f>SUBTOTAL(101,Tabela389101113[landscape])</f>
        <v>1.3966666666666667</v>
      </c>
      <c r="P21">
        <f>SUBTOTAL(101,Tabela389101113[zebra])</f>
        <v>2.3633333333333333</v>
      </c>
      <c r="Q21">
        <f>SUBTOTAL(101,Tabela389101113[egg])</f>
        <v>2.21</v>
      </c>
      <c r="R21">
        <f>SUBTOTAL(101,Tabela389101113[pattern])</f>
        <v>1.2366666666666666</v>
      </c>
    </row>
  </sheetData>
  <pageMargins left="0.7" right="0.7" top="0.75" bottom="0.75" header="0.3" footer="0.3"/>
  <pageSetup paperSize="9" orientation="portrait" horizontalDpi="0" verticalDpi="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B88F-3163-4F0A-A447-5BF01200DE43}">
  <dimension ref="B2:R31"/>
  <sheetViews>
    <sheetView tabSelected="1" topLeftCell="A16" zoomScale="130" zoomScaleNormal="130" workbookViewId="0">
      <selection activeCell="I32" sqref="I32"/>
    </sheetView>
  </sheetViews>
  <sheetFormatPr defaultRowHeight="15"/>
  <cols>
    <col min="3" max="3" width="12.140625" customWidth="1"/>
  </cols>
  <sheetData>
    <row r="2" spans="2:18">
      <c r="B2" t="s">
        <v>19</v>
      </c>
      <c r="C2">
        <v>2.81</v>
      </c>
      <c r="D2">
        <v>2.4700000000000002</v>
      </c>
      <c r="E2">
        <v>3.19</v>
      </c>
      <c r="F2">
        <v>19.68</v>
      </c>
      <c r="H2" t="s">
        <v>20</v>
      </c>
      <c r="I2">
        <v>3.18</v>
      </c>
      <c r="J2">
        <v>2.61</v>
      </c>
      <c r="K2">
        <v>3.44</v>
      </c>
      <c r="L2">
        <v>19.760000000000002</v>
      </c>
      <c r="N2" t="s">
        <v>21</v>
      </c>
      <c r="O2">
        <v>3.31</v>
      </c>
      <c r="P2">
        <v>2.68</v>
      </c>
      <c r="Q2">
        <v>3.56</v>
      </c>
      <c r="R2">
        <v>20.34</v>
      </c>
    </row>
    <row r="3" spans="2:18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N3" t="s">
        <v>3</v>
      </c>
      <c r="O3" t="s">
        <v>4</v>
      </c>
      <c r="P3" t="s">
        <v>5</v>
      </c>
      <c r="Q3" t="s">
        <v>6</v>
      </c>
      <c r="R3" t="s">
        <v>7</v>
      </c>
    </row>
    <row r="4" spans="2:18">
      <c r="B4" t="s">
        <v>8</v>
      </c>
      <c r="C4">
        <v>7.68</v>
      </c>
      <c r="D4">
        <v>11.52</v>
      </c>
      <c r="E4">
        <v>11.41</v>
      </c>
      <c r="F4">
        <v>21.05</v>
      </c>
      <c r="H4" t="s">
        <v>8</v>
      </c>
      <c r="I4">
        <v>7.14</v>
      </c>
      <c r="J4">
        <v>12.9</v>
      </c>
      <c r="K4">
        <v>12.65</v>
      </c>
      <c r="L4">
        <v>20.64</v>
      </c>
      <c r="N4" t="s">
        <v>8</v>
      </c>
      <c r="O4">
        <v>10.66</v>
      </c>
      <c r="P4">
        <v>15.39</v>
      </c>
      <c r="Q4">
        <v>14.83</v>
      </c>
      <c r="R4">
        <v>23.43</v>
      </c>
    </row>
    <row r="5" spans="2:18">
      <c r="B5" t="s">
        <v>9</v>
      </c>
      <c r="C5">
        <v>6.9</v>
      </c>
      <c r="D5">
        <v>11.96</v>
      </c>
      <c r="E5">
        <v>11.47</v>
      </c>
      <c r="F5">
        <v>23.31</v>
      </c>
      <c r="H5" t="s">
        <v>9</v>
      </c>
      <c r="I5">
        <v>7.12</v>
      </c>
      <c r="J5">
        <v>12.32</v>
      </c>
      <c r="K5">
        <v>13.12</v>
      </c>
      <c r="L5">
        <v>27.79</v>
      </c>
      <c r="N5" t="s">
        <v>9</v>
      </c>
      <c r="O5">
        <v>9.33</v>
      </c>
      <c r="P5">
        <v>14.79</v>
      </c>
      <c r="Q5">
        <v>15.21</v>
      </c>
      <c r="R5">
        <v>23.01</v>
      </c>
    </row>
    <row r="6" spans="2:18">
      <c r="B6" t="s">
        <v>10</v>
      </c>
      <c r="C6">
        <v>7.85</v>
      </c>
      <c r="D6">
        <v>10.79</v>
      </c>
      <c r="E6">
        <v>10.58</v>
      </c>
      <c r="F6">
        <v>19.940000000000001</v>
      </c>
      <c r="H6" t="s">
        <v>10</v>
      </c>
      <c r="I6">
        <v>10.67</v>
      </c>
      <c r="J6">
        <v>15.93</v>
      </c>
      <c r="K6">
        <v>11.9</v>
      </c>
      <c r="L6">
        <v>22.1</v>
      </c>
      <c r="N6" t="s">
        <v>10</v>
      </c>
      <c r="O6">
        <v>9.08</v>
      </c>
      <c r="P6">
        <v>14.59</v>
      </c>
      <c r="Q6">
        <v>14.73</v>
      </c>
      <c r="R6">
        <v>26.37</v>
      </c>
    </row>
    <row r="7" spans="2:18">
      <c r="B7" t="s">
        <v>11</v>
      </c>
      <c r="C7">
        <f>SUBTOTAL(101,Tabela314[landscape])</f>
        <v>7.4766666666666666</v>
      </c>
      <c r="D7">
        <f>SUBTOTAL(101,Tabela314[zebra])</f>
        <v>11.423333333333332</v>
      </c>
      <c r="E7">
        <f>SUBTOTAL(101,Tabela314[egg])</f>
        <v>11.153333333333334</v>
      </c>
      <c r="F7">
        <f>SUBTOTAL(101,Tabela314[pattern])</f>
        <v>21.433333333333334</v>
      </c>
      <c r="H7" t="s">
        <v>11</v>
      </c>
      <c r="I7">
        <f>SUBTOTAL(101,Tabela3142[landscape])</f>
        <v>8.31</v>
      </c>
      <c r="J7">
        <f>SUBTOTAL(101,Tabela3142[zebra])</f>
        <v>13.716666666666667</v>
      </c>
      <c r="K7">
        <f>SUBTOTAL(101,Tabela3142[egg])</f>
        <v>12.556666666666667</v>
      </c>
      <c r="L7">
        <f>SUBTOTAL(101,Tabela3142[pattern])</f>
        <v>23.51</v>
      </c>
      <c r="N7" t="s">
        <v>11</v>
      </c>
      <c r="O7">
        <f>SUBTOTAL(101,Tabela3143[landscape])</f>
        <v>9.69</v>
      </c>
      <c r="P7">
        <f>SUBTOTAL(101,Tabela3143[zebra])</f>
        <v>14.923333333333332</v>
      </c>
      <c r="Q7">
        <f>SUBTOTAL(101,Tabela3143[egg])</f>
        <v>14.923333333333332</v>
      </c>
      <c r="R7">
        <f>SUBTOTAL(101,Tabela3143[pattern])</f>
        <v>24.27</v>
      </c>
    </row>
    <row r="10" spans="2:18">
      <c r="B10" t="s">
        <v>22</v>
      </c>
      <c r="C10">
        <v>3.35</v>
      </c>
      <c r="D10">
        <v>2.72</v>
      </c>
      <c r="E10">
        <v>3.62</v>
      </c>
      <c r="F10">
        <v>20.5</v>
      </c>
      <c r="H10" t="s">
        <v>23</v>
      </c>
      <c r="N10" t="s">
        <v>24</v>
      </c>
    </row>
    <row r="11" spans="2:18">
      <c r="B11" t="s">
        <v>3</v>
      </c>
      <c r="C11" t="s">
        <v>4</v>
      </c>
      <c r="D11" t="s">
        <v>5</v>
      </c>
      <c r="E11" t="s">
        <v>6</v>
      </c>
      <c r="F11" t="s">
        <v>7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</row>
    <row r="12" spans="2:18">
      <c r="B12" t="s">
        <v>8</v>
      </c>
      <c r="C12">
        <v>13.52</v>
      </c>
      <c r="D12">
        <v>18.149999999999999</v>
      </c>
      <c r="E12">
        <v>19.579999999999998</v>
      </c>
      <c r="F12">
        <v>27.56</v>
      </c>
      <c r="H12" t="s">
        <v>8</v>
      </c>
      <c r="N12" t="s">
        <v>8</v>
      </c>
    </row>
    <row r="13" spans="2:18">
      <c r="B13" t="s">
        <v>9</v>
      </c>
      <c r="C13">
        <v>10.73</v>
      </c>
      <c r="D13">
        <v>16.850000000000001</v>
      </c>
      <c r="E13">
        <v>15.97</v>
      </c>
      <c r="F13">
        <v>23.64</v>
      </c>
      <c r="H13" t="s">
        <v>9</v>
      </c>
      <c r="N13" t="s">
        <v>9</v>
      </c>
    </row>
    <row r="14" spans="2:18">
      <c r="B14" t="s">
        <v>10</v>
      </c>
      <c r="C14">
        <v>9.08</v>
      </c>
      <c r="D14">
        <v>15.1</v>
      </c>
      <c r="E14">
        <v>16.88</v>
      </c>
      <c r="F14">
        <v>25.34</v>
      </c>
      <c r="H14" t="s">
        <v>10</v>
      </c>
      <c r="N14" t="s">
        <v>10</v>
      </c>
    </row>
    <row r="15" spans="2:18">
      <c r="B15" t="s">
        <v>11</v>
      </c>
      <c r="C15">
        <f>SUBTOTAL(101,Tabela3145[landscape])</f>
        <v>11.11</v>
      </c>
      <c r="D15">
        <f>SUBTOTAL(101,Tabela3145[zebra])</f>
        <v>16.7</v>
      </c>
      <c r="E15">
        <f>SUBTOTAL(101,Tabela3145[egg])</f>
        <v>17.476666666666663</v>
      </c>
      <c r="F15">
        <f>SUBTOTAL(101,Tabela3145[pattern])</f>
        <v>25.513333333333335</v>
      </c>
      <c r="H15" t="s">
        <v>11</v>
      </c>
      <c r="I15" t="e">
        <f>SUBTOTAL(101,Tabela31415[landscape])</f>
        <v>#DIV/0!</v>
      </c>
      <c r="J15" t="e">
        <f>SUBTOTAL(101,Tabela31415[zebra])</f>
        <v>#DIV/0!</v>
      </c>
      <c r="K15" t="e">
        <f>SUBTOTAL(101,Tabela31415[egg])</f>
        <v>#DIV/0!</v>
      </c>
      <c r="L15" t="e">
        <f>SUBTOTAL(101,Tabela31415[pattern])</f>
        <v>#DIV/0!</v>
      </c>
      <c r="N15" t="s">
        <v>11</v>
      </c>
      <c r="O15" t="e">
        <f>SUBTOTAL(101,Tabela31416[landscape])</f>
        <v>#DIV/0!</v>
      </c>
      <c r="P15" t="e">
        <f>SUBTOTAL(101,Tabela31416[zebra])</f>
        <v>#DIV/0!</v>
      </c>
      <c r="Q15" t="e">
        <f>SUBTOTAL(101,Tabela31416[egg])</f>
        <v>#DIV/0!</v>
      </c>
      <c r="R15" t="e">
        <f>SUBTOTAL(101,Tabela31416[pattern])</f>
        <v>#DIV/0!</v>
      </c>
    </row>
    <row r="18" spans="2:18">
      <c r="B18" t="s">
        <v>25</v>
      </c>
      <c r="H18" t="s">
        <v>26</v>
      </c>
      <c r="N18" t="s">
        <v>27</v>
      </c>
    </row>
    <row r="19" spans="2:18">
      <c r="B19" t="s">
        <v>3</v>
      </c>
      <c r="C19" t="s">
        <v>4</v>
      </c>
      <c r="D19" t="s">
        <v>5</v>
      </c>
      <c r="E19" t="s">
        <v>6</v>
      </c>
      <c r="F19" t="s">
        <v>7</v>
      </c>
      <c r="H19" t="s">
        <v>3</v>
      </c>
      <c r="I19" t="s">
        <v>4</v>
      </c>
      <c r="J19" t="s">
        <v>5</v>
      </c>
      <c r="K19" t="s">
        <v>6</v>
      </c>
      <c r="L19" t="s">
        <v>7</v>
      </c>
      <c r="N19" t="s">
        <v>3</v>
      </c>
      <c r="O19" t="s">
        <v>4</v>
      </c>
      <c r="P19" t="s">
        <v>5</v>
      </c>
      <c r="Q19" t="s">
        <v>6</v>
      </c>
      <c r="R19" t="s">
        <v>7</v>
      </c>
    </row>
    <row r="20" spans="2:18">
      <c r="B20" t="s">
        <v>8</v>
      </c>
      <c r="C20">
        <v>30.71</v>
      </c>
      <c r="D20">
        <v>42.31</v>
      </c>
      <c r="E20">
        <v>40.4</v>
      </c>
      <c r="F20">
        <v>44.88</v>
      </c>
      <c r="H20" t="s">
        <v>8</v>
      </c>
      <c r="N20" t="s">
        <v>8</v>
      </c>
    </row>
    <row r="21" spans="2:18">
      <c r="B21" t="s">
        <v>9</v>
      </c>
      <c r="C21">
        <v>22.55</v>
      </c>
      <c r="D21">
        <v>35.29</v>
      </c>
      <c r="E21">
        <v>30.3</v>
      </c>
      <c r="F21">
        <v>33.200000000000003</v>
      </c>
      <c r="H21" t="s">
        <v>9</v>
      </c>
      <c r="N21" t="s">
        <v>9</v>
      </c>
    </row>
    <row r="22" spans="2:18">
      <c r="B22" t="s">
        <v>10</v>
      </c>
      <c r="C22">
        <v>20.61</v>
      </c>
      <c r="D22">
        <v>30.5</v>
      </c>
      <c r="E22">
        <v>28.35</v>
      </c>
      <c r="F22">
        <v>32.14</v>
      </c>
      <c r="H22" t="s">
        <v>10</v>
      </c>
      <c r="N22" t="s">
        <v>10</v>
      </c>
    </row>
    <row r="23" spans="2:18">
      <c r="B23" t="s">
        <v>11</v>
      </c>
      <c r="C23">
        <f>SUBTOTAL(101,Tabela31417[landscape])</f>
        <v>24.623333333333335</v>
      </c>
      <c r="D23">
        <f>SUBTOTAL(101,Tabela31417[zebra])</f>
        <v>36.033333333333331</v>
      </c>
      <c r="E23">
        <f>SUBTOTAL(101,Tabela31417[egg])</f>
        <v>33.016666666666673</v>
      </c>
      <c r="F23">
        <f>SUBTOTAL(101,Tabela31417[pattern])</f>
        <v>36.74</v>
      </c>
      <c r="H23" t="s">
        <v>11</v>
      </c>
      <c r="I23" t="e">
        <f>SUBTOTAL(101,Tabela31418[landscape])</f>
        <v>#DIV/0!</v>
      </c>
      <c r="J23" t="e">
        <f>SUBTOTAL(101,Tabela31418[zebra])</f>
        <v>#DIV/0!</v>
      </c>
      <c r="K23" t="e">
        <f>SUBTOTAL(101,Tabela31418[egg])</f>
        <v>#DIV/0!</v>
      </c>
      <c r="L23" t="e">
        <f>SUBTOTAL(101,Tabela31418[pattern])</f>
        <v>#DIV/0!</v>
      </c>
      <c r="N23" t="s">
        <v>11</v>
      </c>
      <c r="O23" t="e">
        <f>SUBTOTAL(101,Tabela31419[landscape])</f>
        <v>#DIV/0!</v>
      </c>
      <c r="P23" t="e">
        <f>SUBTOTAL(101,Tabela31419[zebra])</f>
        <v>#DIV/0!</v>
      </c>
      <c r="Q23" t="e">
        <f>SUBTOTAL(101,Tabela31419[egg])</f>
        <v>#DIV/0!</v>
      </c>
      <c r="R23" t="e">
        <f>SUBTOTAL(101,Tabela31419[pattern])</f>
        <v>#DIV/0!</v>
      </c>
    </row>
    <row r="26" spans="2:18">
      <c r="B26" t="s">
        <v>28</v>
      </c>
    </row>
    <row r="27" spans="2:18">
      <c r="B27" t="s">
        <v>3</v>
      </c>
      <c r="C27" t="s">
        <v>4</v>
      </c>
      <c r="D27" t="s">
        <v>5</v>
      </c>
      <c r="E27" t="s">
        <v>6</v>
      </c>
      <c r="F27" t="s">
        <v>7</v>
      </c>
    </row>
    <row r="28" spans="2:18">
      <c r="B28" t="s">
        <v>8</v>
      </c>
      <c r="C28">
        <v>26.88</v>
      </c>
      <c r="D28">
        <v>34.85</v>
      </c>
      <c r="E28">
        <v>33.72</v>
      </c>
      <c r="F28">
        <v>38.99</v>
      </c>
    </row>
    <row r="29" spans="2:18">
      <c r="B29" t="s">
        <v>9</v>
      </c>
      <c r="C29">
        <v>26.61</v>
      </c>
      <c r="D29">
        <v>39.53</v>
      </c>
      <c r="E29">
        <v>38.32</v>
      </c>
      <c r="F29">
        <v>46.48</v>
      </c>
    </row>
    <row r="30" spans="2:18">
      <c r="B30" t="s">
        <v>10</v>
      </c>
      <c r="C30">
        <v>24.5</v>
      </c>
      <c r="D30">
        <v>38.340000000000003</v>
      </c>
      <c r="E30">
        <v>34.08</v>
      </c>
      <c r="F30">
        <v>39.67</v>
      </c>
    </row>
    <row r="31" spans="2:18">
      <c r="B31" t="s">
        <v>11</v>
      </c>
      <c r="C31">
        <f>SUBTOTAL(101,Tabela31420[landscape])</f>
        <v>25.996666666666666</v>
      </c>
      <c r="D31">
        <f>SUBTOTAL(101,Tabela31420[zebra])</f>
        <v>37.573333333333331</v>
      </c>
      <c r="E31">
        <f>SUBTOTAL(101,Tabela31420[egg])</f>
        <v>35.373333333333328</v>
      </c>
      <c r="F31">
        <f>SUBTOTAL(101,Tabela31420[pattern])</f>
        <v>41.713333333333331</v>
      </c>
    </row>
  </sheetData>
  <pageMargins left="0.7" right="0.7" top="0.75" bottom="0.75" header="0.3" footer="0.3"/>
  <pageSetup paperSize="9" orientation="portrait" horizontalDpi="0" verticalDpi="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Machado</dc:creator>
  <cp:keywords/>
  <dc:description/>
  <cp:lastModifiedBy>Francisco Manuel Bandeira Carreira</cp:lastModifiedBy>
  <cp:revision/>
  <dcterms:created xsi:type="dcterms:W3CDTF">2020-12-20T20:55:47Z</dcterms:created>
  <dcterms:modified xsi:type="dcterms:W3CDTF">2020-12-21T18:09:26Z</dcterms:modified>
  <cp:category/>
  <cp:contentStatus/>
</cp:coreProperties>
</file>