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7"/>
  </bookViews>
  <sheets>
    <sheet name="Ficha" sheetId="1" r:id="rId1"/>
    <sheet name="Numerador" sheetId="2" r:id="rId2"/>
    <sheet name="Sheet2" sheetId="8" r:id="rId3"/>
    <sheet name="Denominador" sheetId="5" r:id="rId4"/>
    <sheet name="Presupuesto" sheetId="6" r:id="rId5"/>
    <sheet name="Tablas" sheetId="3" r:id="rId6"/>
    <sheet name="Graficas" sheetId="4" r:id="rId7"/>
    <sheet name="Metadata" sheetId="9" r:id="rId8"/>
    <sheet name="Sheet1" sheetId="7" r:id="rId9"/>
  </sheets>
  <externalReferences>
    <externalReference r:id="rId12"/>
  </externalReferences>
  <definedNames>
    <definedName name="_xlnm._FilterDatabase" localSheetId="7" hidden="1">Metadata!$B$1:$F$221</definedName>
    <definedName name="_xlnm._FilterDatabase" localSheetId="5" hidden="1">Tablas!$X$5:$Z$27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<sst xmlns="http://schemas.openxmlformats.org/spreadsheetml/2006/main" count="114">
  <si>
    <t>NOMBRE DEL INDICADOR</t>
  </si>
  <si>
    <t>IDENTIFICADOR DEL INDICADOR</t>
  </si>
  <si>
    <t>Cobertura de Educación Pre Primaria</t>
  </si>
  <si>
    <t>008-1109</t>
  </si>
  <si>
    <t>Código</t>
  </si>
  <si>
    <t>Entidad Asociada</t>
  </si>
  <si>
    <t>Programa asociado</t>
  </si>
  <si>
    <t>Ministerio de Educación</t>
  </si>
  <si>
    <t>Educación Escolar de Preprimaria</t>
  </si>
  <si>
    <t>Historico</t>
  </si>
  <si>
    <t>Base</t>
  </si>
  <si>
    <t>Comportamiento Histótico</t>
  </si>
  <si>
    <t>Recomendado</t>
  </si>
  <si>
    <t>Multianual</t>
  </si>
  <si>
    <t>Resultado Institucional</t>
  </si>
  <si>
    <t>Para el 2019 se ha incrementado la cobertura de educación pre primaria en 12  puntos porcentuales (de 47.3% en 2014 a 59.3% en 2019)</t>
  </si>
  <si>
    <t>ORIGEN DE LA INVESTIGACIÓN</t>
  </si>
  <si>
    <t>Dirección del OGP.</t>
  </si>
  <si>
    <t>DIMENSIÓN A MEDIR:</t>
  </si>
  <si>
    <t>DEFINICIÓN:</t>
  </si>
  <si>
    <t xml:space="preserve">Porcentaje de cobertura de estudiantes que atiende el sector oficial en el ciclo pre primario  </t>
  </si>
  <si>
    <t>Indicador que permite concoer el porcentaje de cobertura de estudiantes de pre primaria que atiende el sector oficial.</t>
  </si>
  <si>
    <t>MÉTODO DE CALCULO:</t>
  </si>
  <si>
    <t>NUMERADOR</t>
  </si>
  <si>
    <t>Cociente entre el número de estudiantes del nivel de pre primaria monolingue y   bilingüe,   dentro de la población total del sector pre primario.</t>
  </si>
  <si>
    <t xml:space="preserve">Estudiantes inscritos  de nivel pre primario monolingue y bilingüe </t>
  </si>
  <si>
    <t>fuente:</t>
  </si>
  <si>
    <t>MINEDUC</t>
  </si>
  <si>
    <t>RESPONSABLE DEL CALCULO</t>
  </si>
  <si>
    <t xml:space="preserve">DENOMINADOR </t>
  </si>
  <si>
    <t>Equipo de analistas del OGP</t>
  </si>
  <si>
    <t>Población total del sector pre  primario</t>
  </si>
  <si>
    <t>Unidad de medida:</t>
  </si>
  <si>
    <t>Porcentaje de cobertura</t>
  </si>
  <si>
    <t>INE</t>
  </si>
  <si>
    <t>DESAGREGACIÓN GEOGRÁFICA</t>
  </si>
  <si>
    <t>FRECUENCIA DE LA MEDICIÓN</t>
  </si>
  <si>
    <t>Nacional - Departamental</t>
  </si>
  <si>
    <t>anual</t>
  </si>
  <si>
    <t>ELABORADO POR:</t>
  </si>
  <si>
    <t>FECHA DE ELABORACIÓN</t>
  </si>
  <si>
    <t>FECHA DE PUBLICACIÓN</t>
  </si>
  <si>
    <t>OGP (Ministerio de Finanzas)</t>
  </si>
  <si>
    <t>Estudiantes Inscritos de 5 a 6 años</t>
  </si>
  <si>
    <t>Sexo</t>
  </si>
  <si>
    <t>F</t>
  </si>
  <si>
    <t>Sum of Cantidad</t>
  </si>
  <si>
    <t>Column Labels</t>
  </si>
  <si>
    <t>Row Labels</t>
  </si>
  <si>
    <t>Grand Total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</si>
  <si>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</si>
  <si>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</si>
  <si>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</si>
  <si>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</si>
  <si>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</si>
  <si>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</si>
  <si>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</si>
  <si>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</si>
  <si>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</si>
  <si>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</si>
  <si>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</si>
  <si>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</si>
  <si>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</si>
  <si>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</si>
  <si>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</si>
  <si>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</si>
  <si>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</si>
  <si>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</si>
  <si>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</si>
  <si>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</si>
  <si>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</si>
  <si>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</si>
  <si>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Departamento</t>
  </si>
  <si>
    <t>descripción</t>
  </si>
  <si>
    <t>Inscritos de 5 - 6 años</t>
  </si>
  <si>
    <t>M</t>
  </si>
  <si>
    <t>Proyección de población INE 5-6 años</t>
  </si>
  <si>
    <t xml:space="preserve">Proyección de población de niños en edad de 5 a 6 años </t>
  </si>
  <si>
    <t>FUENTE:</t>
  </si>
  <si>
    <t xml:space="preserve">Devengado al cierre de diciembre </t>
  </si>
  <si>
    <t>Programa 11 Educación Escolar de Preprimaria</t>
  </si>
  <si>
    <t>Fuente SICOIN</t>
  </si>
  <si>
    <t>Depto</t>
  </si>
  <si>
    <t>Total</t>
  </si>
  <si>
    <t>Inscritos</t>
  </si>
  <si>
    <t>Proyección</t>
  </si>
  <si>
    <t>Proyecc 2</t>
  </si>
  <si>
    <t>Cobertura en % de población estudiantil del ciclo preprimario atendida por el sector oficial</t>
  </si>
  <si>
    <t>Cobertura</t>
  </si>
  <si>
    <t>Meta</t>
  </si>
  <si>
    <t>Presupuesto</t>
  </si>
  <si>
    <t>Per Capita</t>
  </si>
  <si>
    <t>Resumen</t>
  </si>
  <si>
    <t>Año</t>
  </si>
  <si>
    <t>Alumnos inscritos</t>
  </si>
  <si>
    <t>Proyección de población</t>
  </si>
  <si>
    <t>% de cobertura</t>
  </si>
  <si>
    <t xml:space="preserve">Devengado </t>
  </si>
  <si>
    <t>Gasto Per Capita Anual total</t>
  </si>
  <si>
    <t>Meta 2019</t>
  </si>
  <si>
    <t>Diferencia</t>
  </si>
  <si>
    <t xml:space="preserve">Análisis Anual </t>
  </si>
  <si>
    <t>Gasto per Capita Anual</t>
  </si>
  <si>
    <t>Análisis Interanual</t>
  </si>
  <si>
    <t>poblacion</t>
  </si>
  <si>
    <t>anio</t>
  </si>
  <si>
    <t>sexo</t>
  </si>
  <si>
    <t>g1</t>
  </si>
  <si>
    <t>g2</t>
  </si>
  <si>
    <t>Tipo</t>
  </si>
  <si>
    <t>Servicios personales</t>
  </si>
  <si>
    <t>Materiales y Suministros</t>
  </si>
  <si>
    <t>Transferencias corrientes</t>
  </si>
  <si>
    <t>Servicios no personales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</si>
</sst>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-* #,##0_-;\-* #,##0_-;_-* &quot;-&quot;??_-;_-@_-"/>
    <numFmt numFmtId="177" formatCode="_-[$Q-100A]* #,##0.00_-;\-[$Q-100A]* #,##0.00_-;_-[$Q-100A]* &quot;-&quot;??_-;_-@_-"/>
    <numFmt numFmtId="178" formatCode="_-* #,##0.00_-;\-* #,##0.00_-;_-* &quot;-&quot;??_-;_-@_-"/>
    <numFmt numFmtId="44" formatCode="_(&quot;$&quot;* #,##0.00_);_(&quot;$&quot;* \(#,##0.00\);_(&quot;$&quot;* &quot;-&quot;??_);_(@_)"/>
    <numFmt numFmtId="179" formatCode="_ * #,##0_ ;_ * \-#,##0_ ;_ * &quot;-&quot;_ ;_ @_ "/>
    <numFmt numFmtId="180" formatCode="#,##0_ ;\-#,##0\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20"/>
      <color theme="4" tint="-0.249977111117893"/>
      <name val="Calibri"/>
      <charset val="134"/>
      <scheme val="minor"/>
    </font>
    <font>
      <sz val="20"/>
      <color theme="4" tint="-0.249977111117893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8"/>
      <color theme="4" tint="-0.249977111117893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6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0" borderId="26" applyNumberFormat="0" applyFill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29" applyNumberFormat="0" applyAlignment="0" applyProtection="0">
      <alignment vertical="center"/>
    </xf>
    <xf numFmtId="0" fontId="13" fillId="16" borderId="30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7" borderId="31" applyNumberFormat="0" applyAlignment="0" applyProtection="0">
      <alignment vertical="center"/>
    </xf>
    <xf numFmtId="0" fontId="25" fillId="15" borderId="31" applyNumberFormat="0" applyAlignment="0" applyProtection="0">
      <alignment vertical="center"/>
    </xf>
    <xf numFmtId="0" fontId="16" fillId="13" borderId="27" applyNumberFormat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3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04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0" borderId="0" xfId="0" applyFont="1" applyAlignment="1">
      <alignment horizontal="left" indent="1"/>
    </xf>
    <xf numFmtId="177" fontId="0" fillId="0" borderId="0" xfId="0" applyNumberFormat="1" applyFont="1"/>
    <xf numFmtId="177" fontId="1" fillId="0" borderId="0" xfId="0" applyNumberFormat="1" applyFont="1"/>
    <xf numFmtId="0" fontId="1" fillId="2" borderId="0" xfId="0" applyFont="1" applyFill="1" applyBorder="1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3" borderId="0" xfId="23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76" fontId="1" fillId="5" borderId="0" xfId="6" applyNumberFormat="1" applyFont="1" applyFill="1" applyBorder="1"/>
    <xf numFmtId="10" fontId="5" fillId="5" borderId="0" xfId="0" applyNumberFormat="1" applyFont="1" applyFill="1" applyBorder="1"/>
    <xf numFmtId="0" fontId="6" fillId="6" borderId="0" xfId="0" applyFont="1" applyFill="1" applyBorder="1" applyAlignment="1">
      <alignment horizontal="center"/>
    </xf>
    <xf numFmtId="177" fontId="7" fillId="0" borderId="3" xfId="0" applyNumberFormat="1" applyFont="1" applyBorder="1" applyAlignment="1">
      <alignment horizontal="center" vertical="center"/>
    </xf>
    <xf numFmtId="177" fontId="1" fillId="5" borderId="0" xfId="0" applyNumberFormat="1" applyFont="1" applyFill="1"/>
    <xf numFmtId="177" fontId="7" fillId="0" borderId="4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3" fontId="0" fillId="0" borderId="0" xfId="0" applyNumberFormat="1"/>
    <xf numFmtId="177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6" fillId="7" borderId="6" xfId="0" applyFont="1" applyFill="1" applyBorder="1"/>
    <xf numFmtId="177" fontId="0" fillId="0" borderId="7" xfId="0" applyNumberFormat="1" applyBorder="1"/>
    <xf numFmtId="0" fontId="9" fillId="0" borderId="0" xfId="0" applyFont="1"/>
    <xf numFmtId="0" fontId="1" fillId="2" borderId="11" xfId="0" applyFont="1" applyFill="1" applyBorder="1" applyAlignment="1">
      <alignment horizontal="left"/>
    </xf>
    <xf numFmtId="176" fontId="1" fillId="2" borderId="11" xfId="0" applyNumberFormat="1" applyFont="1" applyFill="1" applyBorder="1"/>
    <xf numFmtId="0" fontId="0" fillId="8" borderId="0" xfId="0" applyFill="1" applyBorder="1" applyAlignment="1">
      <alignment horizontal="left"/>
    </xf>
    <xf numFmtId="9" fontId="0" fillId="8" borderId="0" xfId="7" applyFont="1" applyFill="1" applyBorder="1"/>
    <xf numFmtId="176" fontId="0" fillId="8" borderId="0" xfId="7" applyNumberFormat="1" applyFont="1" applyFill="1" applyBorder="1"/>
    <xf numFmtId="10" fontId="1" fillId="2" borderId="11" xfId="7" applyNumberFormat="1" applyFont="1" applyFill="1" applyBorder="1"/>
    <xf numFmtId="176" fontId="0" fillId="0" borderId="0" xfId="6" applyNumberFormat="1" applyFont="1"/>
    <xf numFmtId="0" fontId="1" fillId="9" borderId="0" xfId="0" applyFont="1" applyFill="1" applyBorder="1" applyAlignment="1">
      <alignment horizontal="left"/>
    </xf>
    <xf numFmtId="176" fontId="1" fillId="9" borderId="0" xfId="6" applyNumberFormat="1" applyFont="1" applyFill="1" applyBorder="1"/>
    <xf numFmtId="0" fontId="0" fillId="0" borderId="0" xfId="0" applyFont="1"/>
    <xf numFmtId="0" fontId="10" fillId="8" borderId="0" xfId="0" applyFont="1" applyFill="1"/>
    <xf numFmtId="0" fontId="6" fillId="9" borderId="0" xfId="0" applyFont="1" applyFill="1" applyBorder="1"/>
    <xf numFmtId="0" fontId="10" fillId="8" borderId="0" xfId="0" applyFont="1" applyFill="1" applyBorder="1"/>
    <xf numFmtId="0" fontId="10" fillId="8" borderId="0" xfId="0" applyFont="1" applyFill="1" applyAlignment="1">
      <alignment horizontal="left"/>
    </xf>
    <xf numFmtId="10" fontId="10" fillId="8" borderId="0" xfId="7" applyNumberFormat="1" applyFont="1" applyFill="1" applyBorder="1"/>
    <xf numFmtId="10" fontId="10" fillId="8" borderId="0" xfId="0" applyNumberFormat="1" applyFont="1" applyFill="1" applyBorder="1"/>
    <xf numFmtId="0" fontId="6" fillId="9" borderId="0" xfId="0" applyFont="1" applyFill="1" applyBorder="1" applyAlignment="1">
      <alignment horizontal="left"/>
    </xf>
    <xf numFmtId="10" fontId="6" fillId="9" borderId="0" xfId="7" applyNumberFormat="1" applyFont="1" applyFill="1" applyBorder="1"/>
    <xf numFmtId="0" fontId="0" fillId="8" borderId="0" xfId="0" applyFont="1" applyFill="1"/>
    <xf numFmtId="0" fontId="10" fillId="8" borderId="0" xfId="0" applyFont="1" applyFill="1" applyBorder="1" applyAlignment="1">
      <alignment horizontal="left"/>
    </xf>
    <xf numFmtId="0" fontId="10" fillId="0" borderId="0" xfId="0" applyFont="1"/>
    <xf numFmtId="176" fontId="6" fillId="9" borderId="0" xfId="0" applyNumberFormat="1" applyFont="1" applyFill="1" applyBorder="1"/>
    <xf numFmtId="9" fontId="10" fillId="8" borderId="0" xfId="7" applyFont="1" applyFill="1" applyBorder="1"/>
    <xf numFmtId="177" fontId="0" fillId="0" borderId="0" xfId="0" applyNumberFormat="1"/>
    <xf numFmtId="177" fontId="1" fillId="10" borderId="0" xfId="0" applyNumberFormat="1" applyFont="1" applyFill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0" borderId="12" xfId="0" applyBorder="1"/>
    <xf numFmtId="176" fontId="0" fillId="0" borderId="12" xfId="0" applyNumberFormat="1" applyBorder="1"/>
    <xf numFmtId="10" fontId="0" fillId="0" borderId="12" xfId="0" applyNumberFormat="1" applyBorder="1"/>
    <xf numFmtId="177" fontId="10" fillId="8" borderId="0" xfId="0" applyNumberFormat="1" applyFont="1" applyFill="1" applyBorder="1"/>
    <xf numFmtId="177" fontId="10" fillId="8" borderId="0" xfId="0" applyNumberFormat="1" applyFont="1" applyFill="1"/>
    <xf numFmtId="177" fontId="6" fillId="8" borderId="0" xfId="0" applyNumberFormat="1" applyFont="1" applyFill="1" applyBorder="1"/>
    <xf numFmtId="180" fontId="6" fillId="8" borderId="0" xfId="0" applyNumberFormat="1" applyFont="1" applyFill="1" applyBorder="1"/>
    <xf numFmtId="177" fontId="0" fillId="0" borderId="12" xfId="0" applyNumberFormat="1" applyBorder="1"/>
    <xf numFmtId="0" fontId="11" fillId="0" borderId="0" xfId="0" applyFont="1"/>
    <xf numFmtId="0" fontId="0" fillId="11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11" borderId="0" xfId="0" applyFont="1" applyFill="1" applyBorder="1" applyAlignment="1"/>
    <xf numFmtId="0" fontId="0" fillId="11" borderId="16" xfId="0" applyFont="1" applyFill="1" applyBorder="1" applyAlignment="1">
      <alignment horizontal="center"/>
    </xf>
    <xf numFmtId="0" fontId="0" fillId="0" borderId="13" xfId="0" applyFont="1" applyBorder="1" applyAlignment="1"/>
    <xf numFmtId="0" fontId="0" fillId="0" borderId="12" xfId="0" applyFont="1" applyBorder="1" applyAlignment="1"/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15" xfId="0" applyFont="1" applyBorder="1" applyAlignment="1">
      <alignment vertical="center"/>
    </xf>
    <xf numFmtId="0" fontId="0" fillId="0" borderId="13" xfId="0" applyFont="1" applyBorder="1"/>
    <xf numFmtId="0" fontId="0" fillId="0" borderId="13" xfId="0" applyFont="1" applyBorder="1" applyAlignment="1" quotePrefix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8">
    <dxf>
      <numFmt numFmtId="178" formatCode="_-* #,##0.00_-;\-* #,##0.00_-;_-* &quot;-&quot;??_-;_-@_-"/>
    </dxf>
    <dxf>
      <numFmt numFmtId="181" formatCode="_-* #,##0.000_-;\-* #,##0.000_-;_-* &quot;-&quot;??_-;_-@_-"/>
    </dxf>
    <dxf>
      <numFmt numFmtId="178" formatCode="_-* #,##0.00_-;\-* #,##0.00_-;_-* &quot;-&quot;??_-;_-@_-"/>
    </dxf>
    <dxf>
      <numFmt numFmtId="182" formatCode="_-* #,##0.0_-;\-* #,##0.0_-;_-* &quot;-&quot;??_-;_-@_-"/>
    </dxf>
    <dxf>
      <numFmt numFmtId="176" formatCode="_-* #,##0_-;\-* #,##0_-;_-* &quot;-&quot;??_-;_-@_-"/>
    </dxf>
    <dxf>
      <numFmt numFmtId="178" formatCode="_-* #,##0.00_-;\-* #,##0.00_-;_-* &quot;-&quot;??_-;_-@_-"/>
    </dxf>
    <dxf>
      <numFmt numFmtId="183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colors>
    <mruColors>
      <color rgb="00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Tablas!$E$91</c:f>
              <c:strCache>
                <c:ptCount val="1"/>
                <c:pt idx="0">
                  <c:v>Alumnos inscritos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Tablas!$D$92:$D$97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Tablas!$E$92:$E$97</c:f>
              <c:numCache>
                <c:formatCode>_-* #,##0_-;\-* #,##0_-;_-* "-"??_-;_-@_-</c:formatCode>
                <c:ptCount val="6"/>
                <c:pt idx="0">
                  <c:v>202303</c:v>
                </c:pt>
                <c:pt idx="1">
                  <c:v>188188</c:v>
                </c:pt>
                <c:pt idx="2">
                  <c:v>194215</c:v>
                </c:pt>
                <c:pt idx="3">
                  <c:v>201581</c:v>
                </c:pt>
                <c:pt idx="4">
                  <c:v>204533</c:v>
                </c:pt>
                <c:pt idx="5">
                  <c:v>202454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77311"/>
        <c:axId val="968388719"/>
      </c:scatterChart>
      <c:valAx>
        <c:axId val="13880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88719"/>
        <c:crosses val="autoZero"/>
        <c:crossBetween val="midCat"/>
      </c:valAx>
      <c:valAx>
        <c:axId val="9683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80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Presupuesto</a:t>
            </a:r>
            <a:r>
              <a:rPr lang="es-MX" baseline="0"/>
              <a:t> por grupo de gasto (año 1 = 100%)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Sheet1!$G$3:$G$12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Sheet1!$H$3:$H$12</c:f>
              <c:numCache>
                <c:formatCode>0</c:formatCode>
                <c:ptCount val="10"/>
                <c:pt idx="0">
                  <c:v>100</c:v>
                </c:pt>
                <c:pt idx="1">
                  <c:v>123.684210526316</c:v>
                </c:pt>
                <c:pt idx="2">
                  <c:v>101.315789473684</c:v>
                </c:pt>
                <c:pt idx="3">
                  <c:v>103.947368421053</c:v>
                </c:pt>
                <c:pt idx="4">
                  <c:v>85.5263157894737</c:v>
                </c:pt>
                <c:pt idx="5">
                  <c:v>65.7894736842105</c:v>
                </c:pt>
                <c:pt idx="6">
                  <c:v>118.421052631579</c:v>
                </c:pt>
                <c:pt idx="7">
                  <c:v>126.315789473684</c:v>
                </c:pt>
                <c:pt idx="8">
                  <c:v>123.684210526316</c:v>
                </c:pt>
                <c:pt idx="9">
                  <c:v>98.6842105263158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52991"/>
        <c:axId val="666695887"/>
      </c:lineChart>
      <c:catAx>
        <c:axId val="92315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695887"/>
        <c:crosses val="autoZero"/>
        <c:auto val="1"/>
        <c:lblAlgn val="ctr"/>
        <c:lblOffset val="100"/>
        <c:noMultiLvlLbl val="0"/>
      </c:catAx>
      <c:valAx>
        <c:axId val="6666958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Presupuesto de unidades</a:t>
            </a:r>
            <a:r>
              <a:rPr lang="es-MX" baseline="0"/>
              <a:t> ejecutoras departamentales del programa de educación pre primaria,  por grupo de gasto (año 2011=100%)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Servicios personales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100</c:v>
                </c:pt>
                <c:pt idx="1">
                  <c:v>102.905498594268</c:v>
                </c:pt>
                <c:pt idx="2">
                  <c:v>113.30610011154</c:v>
                </c:pt>
                <c:pt idx="3">
                  <c:v>131.593168136492</c:v>
                </c:pt>
                <c:pt idx="4">
                  <c:v>154.022903818479</c:v>
                </c:pt>
                <c:pt idx="5">
                  <c:v>159.529003414803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Sheet1!$T$28</c:f>
              <c:strCache>
                <c:ptCount val="1"/>
                <c:pt idx="0">
                  <c:v>Materiales y Suministros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100</c:v>
                </c:pt>
                <c:pt idx="1">
                  <c:v>108.408922886161</c:v>
                </c:pt>
                <c:pt idx="2">
                  <c:v>57.2165974938343</c:v>
                </c:pt>
                <c:pt idx="3">
                  <c:v>108.946439957771</c:v>
                </c:pt>
                <c:pt idx="4">
                  <c:v>42.7125807903403</c:v>
                </c:pt>
                <c:pt idx="5">
                  <c:v>9.93606401393203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Sheet1!$U$28</c:f>
              <c:strCache>
                <c:ptCount val="1"/>
                <c:pt idx="0">
                  <c:v>Transferencias corrientes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Sheet1!$U$29:$U$34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20.8396244298245</c:v>
                </c:pt>
                <c:pt idx="4">
                  <c:v>90.9905753961679</c:v>
                </c:pt>
                <c:pt idx="5">
                  <c:v>139.282004172118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Sheet1!$V$28</c:f>
              <c:strCache>
                <c:ptCount val="1"/>
                <c:pt idx="0">
                  <c:v>Servicios no personales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Sheet1!$V$29:$V$34</c:f>
              <c:numCache>
                <c:formatCode>General</c:formatCode>
                <c:ptCount val="6"/>
                <c:pt idx="0">
                  <c:v>100</c:v>
                </c:pt>
                <c:pt idx="1">
                  <c:v>112.678167098178</c:v>
                </c:pt>
                <c:pt idx="2">
                  <c:v>90.4280295768851</c:v>
                </c:pt>
                <c:pt idx="3">
                  <c:v>177.261205289632</c:v>
                </c:pt>
                <c:pt idx="4">
                  <c:v>62.17041122089</c:v>
                </c:pt>
                <c:pt idx="5">
                  <c:v>80.3877212111801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256544"/>
        <c:axId val="370125008"/>
      </c:lineChart>
      <c:catAx>
        <c:axId val="20062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125008"/>
        <c:crosses val="autoZero"/>
        <c:auto val="1"/>
        <c:lblAlgn val="ctr"/>
        <c:lblOffset val="100"/>
        <c:noMultiLvlLbl val="0"/>
      </c:catAx>
      <c:valAx>
        <c:axId val="370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62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Tablas!$F$91</c:f>
              <c:strCache>
                <c:ptCount val="1"/>
                <c:pt idx="0">
                  <c:v>Proyección de población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Tablas!$D$92:$D$97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Tablas!$F$92:$F$97</c:f>
              <c:numCache>
                <c:formatCode>_-* #,##0_-;\-* #,##0_-;_-* "-"??_-;_-@_-</c:formatCode>
                <c:ptCount val="6"/>
                <c:pt idx="0">
                  <c:v>412611</c:v>
                </c:pt>
                <c:pt idx="1">
                  <c:v>419155</c:v>
                </c:pt>
                <c:pt idx="2">
                  <c:v>425897</c:v>
                </c:pt>
                <c:pt idx="3">
                  <c:v>423910</c:v>
                </c:pt>
                <c:pt idx="4">
                  <c:v>428383</c:v>
                </c:pt>
                <c:pt idx="5">
                  <c:v>432173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3375"/>
        <c:axId val="966782063"/>
      </c:scatterChart>
      <c:valAx>
        <c:axId val="11676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782063"/>
        <c:crosses val="autoZero"/>
        <c:crossBetween val="midCat"/>
      </c:valAx>
      <c:valAx>
        <c:axId val="9667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6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Presupuesto devengado por las unidades ejecutoras departamentales del programa de</a:t>
            </a:r>
            <a:r>
              <a:rPr lang="en-US" sz="1400" baseline="0"/>
              <a:t> educación escolar de pre primaria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918322201595"/>
          <c:y val="0.129963000864101"/>
          <c:w val="0.851401460996237"/>
          <c:h val="0.63411042114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Tablas!$M$64</c:f>
              <c:strCache>
                <c:ptCount val="1"/>
                <c:pt idx="0">
                  <c:v>Presupuesto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Tablas!$L$65:$L$86</c:f>
              <c:strCache>
                <c:ptCount val="22"/>
                <c:pt idx="0">
                  <c:v>El Progreso</c:v>
                </c:pt>
                <c:pt idx="1">
                  <c:v>Sacatepéquez</c:v>
                </c:pt>
                <c:pt idx="2">
                  <c:v>Zacapa</c:v>
                </c:pt>
                <c:pt idx="3">
                  <c:v>Jalapa</c:v>
                </c:pt>
                <c:pt idx="4">
                  <c:v>Baja Verapaz</c:v>
                </c:pt>
                <c:pt idx="5">
                  <c:v>Izabal</c:v>
                </c:pt>
                <c:pt idx="6">
                  <c:v>Chimaltenango</c:v>
                </c:pt>
                <c:pt idx="7">
                  <c:v>Santa Rosa</c:v>
                </c:pt>
                <c:pt idx="8">
                  <c:v>Retalhuleu</c:v>
                </c:pt>
                <c:pt idx="9">
                  <c:v>Totonicapán</c:v>
                </c:pt>
                <c:pt idx="10">
                  <c:v>Chiquimula</c:v>
                </c:pt>
                <c:pt idx="11">
                  <c:v>Sololá</c:v>
                </c:pt>
                <c:pt idx="12">
                  <c:v>Jutiapa</c:v>
                </c:pt>
                <c:pt idx="13">
                  <c:v>Suchitepéquez</c:v>
                </c:pt>
                <c:pt idx="14">
                  <c:v>Escuintla</c:v>
                </c:pt>
                <c:pt idx="15">
                  <c:v>Quiché</c:v>
                </c:pt>
                <c:pt idx="16">
                  <c:v>Petén</c:v>
                </c:pt>
                <c:pt idx="17">
                  <c:v>Alta Verapaz</c:v>
                </c:pt>
                <c:pt idx="18">
                  <c:v>Huehuetenango</c:v>
                </c:pt>
                <c:pt idx="19">
                  <c:v>Quetzaltenango</c:v>
                </c:pt>
                <c:pt idx="20">
                  <c:v>San Marcos</c:v>
                </c:pt>
                <c:pt idx="21">
                  <c:v>Guatemala</c:v>
                </c:pt>
              </c:strCache>
            </c:strRef>
          </c:cat>
          <c:val>
            <c:numRef>
              <c:f>Tablas!$M$65:$M$86</c:f>
              <c:numCache>
                <c:formatCode>_-[$Q-100A]* #,##0.00_-;\-[$Q-100A]* #,##0.00_-;_-[$Q-100A]* "-"??_-;_-@_-</c:formatCode>
                <c:ptCount val="22"/>
                <c:pt idx="0">
                  <c:v>17555505.53</c:v>
                </c:pt>
                <c:pt idx="1">
                  <c:v>22036170.24</c:v>
                </c:pt>
                <c:pt idx="2">
                  <c:v>24597127.75</c:v>
                </c:pt>
                <c:pt idx="3">
                  <c:v>31012324.16</c:v>
                </c:pt>
                <c:pt idx="4">
                  <c:v>31041017.69</c:v>
                </c:pt>
                <c:pt idx="5">
                  <c:v>34177465.75</c:v>
                </c:pt>
                <c:pt idx="6">
                  <c:v>31502174.85</c:v>
                </c:pt>
                <c:pt idx="7">
                  <c:v>33230079.38</c:v>
                </c:pt>
                <c:pt idx="8">
                  <c:v>35277937.08</c:v>
                </c:pt>
                <c:pt idx="9">
                  <c:v>34885410.42</c:v>
                </c:pt>
                <c:pt idx="10">
                  <c:v>36928131.29</c:v>
                </c:pt>
                <c:pt idx="11">
                  <c:v>38723953.08</c:v>
                </c:pt>
                <c:pt idx="12">
                  <c:v>39715076.98</c:v>
                </c:pt>
                <c:pt idx="13">
                  <c:v>44136680.13</c:v>
                </c:pt>
                <c:pt idx="14">
                  <c:v>51760833.25</c:v>
                </c:pt>
                <c:pt idx="15">
                  <c:v>52421733.67</c:v>
                </c:pt>
                <c:pt idx="16">
                  <c:v>51910398.82</c:v>
                </c:pt>
                <c:pt idx="17">
                  <c:v>63114142.14</c:v>
                </c:pt>
                <c:pt idx="18">
                  <c:v>65623617.26</c:v>
                </c:pt>
                <c:pt idx="19">
                  <c:v>67506597.17</c:v>
                </c:pt>
                <c:pt idx="20">
                  <c:v>89516421.92</c:v>
                </c:pt>
                <c:pt idx="21">
                  <c:v>134709408.38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93167"/>
        <c:axId val="504760847"/>
      </c:barChart>
      <c:catAx>
        <c:axId val="4548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760847"/>
        <c:crosses val="autoZero"/>
        <c:auto val="1"/>
        <c:lblAlgn val="ctr"/>
        <c:lblOffset val="100"/>
        <c:noMultiLvlLbl val="0"/>
      </c:catAx>
      <c:valAx>
        <c:axId val="5047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893167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es-MX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 Devengado por las unidades ejecutoras departamentales por el Programa de educación escola</a:t>
            </a:r>
            <a:r>
              <a:rPr lang="en-US" baseline="0"/>
              <a:t>r de  pre primaria</a:t>
            </a:r>
            <a:r>
              <a:rPr lang="en-US"/>
              <a:t>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Tablas!$I$91</c:f>
              <c:strCache>
                <c:ptCount val="1"/>
                <c:pt idx="0">
                  <c:v>Devengado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Tablas!$D$92:$D$97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Tablas!$I$92:$I$97</c:f>
              <c:numCache>
                <c:formatCode>_-[$Q-100A]* #,##0.00_-;\-[$Q-100A]* #,##0.00_-;_-[$Q-100A]* "-"??_-;_-@_-</c:formatCode>
                <c:ptCount val="6"/>
                <c:pt idx="0">
                  <c:v>999931204.85</c:v>
                </c:pt>
                <c:pt idx="1">
                  <c:v>1031382206.94</c:v>
                </c:pt>
                <c:pt idx="2">
                  <c:v>1136296275.41</c:v>
                </c:pt>
                <c:pt idx="3">
                  <c:v>1315585407.11</c:v>
                </c:pt>
                <c:pt idx="4">
                  <c:v>1521265012.44</c:v>
                </c:pt>
                <c:pt idx="5">
                  <c:v>1572983404.19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03823"/>
        <c:axId val="444570319"/>
      </c:scatterChart>
      <c:valAx>
        <c:axId val="5204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570319"/>
        <c:crosses val="autoZero"/>
        <c:crossBetween val="midCat"/>
      </c:valAx>
      <c:valAx>
        <c:axId val="444570319"/>
        <c:scaling>
          <c:orientation val="minMax"/>
          <c:min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03823"/>
        <c:crosses val="autoZero"/>
        <c:crossBetween val="midCat"/>
        <c:majorUnit val="20000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s-MX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Cobertura</a:t>
            </a:r>
            <a:r>
              <a:rPr lang="es-MX" baseline="0"/>
              <a:t> de </a:t>
            </a:r>
            <a:r>
              <a:rPr lang="es-MX"/>
              <a:t>educación pre</a:t>
            </a:r>
            <a:r>
              <a:rPr lang="es-MX" baseline="0"/>
              <a:t> primaria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Tablas!$M$34</c:f>
              <c:strCache>
                <c:ptCount val="1"/>
                <c:pt idx="0">
                  <c:v>Cobertura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Tablas!$L$35:$L$56</c:f>
              <c:strCache>
                <c:ptCount val="22"/>
                <c:pt idx="0">
                  <c:v>Quiché</c:v>
                </c:pt>
                <c:pt idx="1">
                  <c:v>Totonicapán</c:v>
                </c:pt>
                <c:pt idx="2">
                  <c:v>Huehuetenango</c:v>
                </c:pt>
                <c:pt idx="3">
                  <c:v>Alta Verapaz</c:v>
                </c:pt>
                <c:pt idx="4">
                  <c:v>Petén</c:v>
                </c:pt>
                <c:pt idx="5">
                  <c:v>Chimaltenango</c:v>
                </c:pt>
                <c:pt idx="6">
                  <c:v>Sololá</c:v>
                </c:pt>
                <c:pt idx="7">
                  <c:v>Jalapa</c:v>
                </c:pt>
                <c:pt idx="8">
                  <c:v>Izabal</c:v>
                </c:pt>
                <c:pt idx="9">
                  <c:v>San Marcos</c:v>
                </c:pt>
                <c:pt idx="10">
                  <c:v>Quetzaltenango</c:v>
                </c:pt>
                <c:pt idx="11">
                  <c:v>Baja Verapaz</c:v>
                </c:pt>
                <c:pt idx="12">
                  <c:v>Chiquimula</c:v>
                </c:pt>
                <c:pt idx="13">
                  <c:v>Suchitepéquez</c:v>
                </c:pt>
                <c:pt idx="14">
                  <c:v>Jutiapa</c:v>
                </c:pt>
                <c:pt idx="15">
                  <c:v>Sacatepéquez</c:v>
                </c:pt>
                <c:pt idx="16">
                  <c:v>Santa Rosa</c:v>
                </c:pt>
                <c:pt idx="17">
                  <c:v>Escuintla</c:v>
                </c:pt>
                <c:pt idx="18">
                  <c:v>Retalhuleu</c:v>
                </c:pt>
                <c:pt idx="19">
                  <c:v>Zacapa</c:v>
                </c:pt>
                <c:pt idx="20">
                  <c:v>El Progreso</c:v>
                </c:pt>
                <c:pt idx="21">
                  <c:v>Guatemala</c:v>
                </c:pt>
              </c:strCache>
            </c:strRef>
          </c:cat>
          <c:val>
            <c:numRef>
              <c:f>Tablas!$M$35:$M$56</c:f>
              <c:numCache>
                <c:formatCode>0.00%</c:formatCode>
                <c:ptCount val="22"/>
                <c:pt idx="0">
                  <c:v>0.292481854296723</c:v>
                </c:pt>
                <c:pt idx="1">
                  <c:v>0.324878222644648</c:v>
                </c:pt>
                <c:pt idx="2">
                  <c:v>0.328025926447795</c:v>
                </c:pt>
                <c:pt idx="3">
                  <c:v>0.327111035344926</c:v>
                </c:pt>
                <c:pt idx="4">
                  <c:v>0.356155868993545</c:v>
                </c:pt>
                <c:pt idx="5">
                  <c:v>0.366394997180788</c:v>
                </c:pt>
                <c:pt idx="6">
                  <c:v>0.399270861463678</c:v>
                </c:pt>
                <c:pt idx="7">
                  <c:v>0.436088786835055</c:v>
                </c:pt>
                <c:pt idx="8">
                  <c:v>0.438621986664387</c:v>
                </c:pt>
                <c:pt idx="9">
                  <c:v>0.436850478995295</c:v>
                </c:pt>
                <c:pt idx="10">
                  <c:v>0.432071766491118</c:v>
                </c:pt>
                <c:pt idx="11">
                  <c:v>0.483704974271012</c:v>
                </c:pt>
                <c:pt idx="12">
                  <c:v>0.46461319326983</c:v>
                </c:pt>
                <c:pt idx="13">
                  <c:v>0.536686632180779</c:v>
                </c:pt>
                <c:pt idx="14">
                  <c:v>0.520701702222553</c:v>
                </c:pt>
                <c:pt idx="15">
                  <c:v>0.537910595208694</c:v>
                </c:pt>
                <c:pt idx="16">
                  <c:v>0.546361746361746</c:v>
                </c:pt>
                <c:pt idx="17">
                  <c:v>0.574047049209036</c:v>
                </c:pt>
                <c:pt idx="18">
                  <c:v>0.569713870029098</c:v>
                </c:pt>
                <c:pt idx="19">
                  <c:v>0.570592408655552</c:v>
                </c:pt>
                <c:pt idx="20">
                  <c:v>0.551343570057582</c:v>
                </c:pt>
                <c:pt idx="21">
                  <c:v>0.632755721283907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30527"/>
        <c:axId val="445043087"/>
      </c:barChart>
      <c:catAx>
        <c:axId val="55473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43087"/>
        <c:crosses val="autoZero"/>
        <c:auto val="1"/>
        <c:lblAlgn val="ctr"/>
        <c:lblOffset val="100"/>
        <c:noMultiLvlLbl val="0"/>
      </c:catAx>
      <c:valAx>
        <c:axId val="445043087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7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cobertura vs meta 2019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Tablas!$G$91</c:f>
              <c:strCache>
                <c:ptCount val="1"/>
                <c:pt idx="0">
                  <c:v>% de cobertura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Tablas!$D$92:$D$97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Tablas!$G$92:$G$97</c:f>
              <c:numCache>
                <c:formatCode>0.00%</c:formatCode>
                <c:ptCount val="6"/>
                <c:pt idx="0">
                  <c:v>0.490299579991808</c:v>
                </c:pt>
                <c:pt idx="1">
                  <c:v>0.448969951449941</c:v>
                </c:pt>
                <c:pt idx="2">
                  <c:v>0.456014012777737</c:v>
                </c:pt>
                <c:pt idx="3">
                  <c:v>0.475527824302328</c:v>
                </c:pt>
                <c:pt idx="4">
                  <c:v>0.477453587093792</c:v>
                </c:pt>
                <c:pt idx="5">
                  <c:v>0.468455919273069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4959"/>
        <c:axId val="553852735"/>
      </c:scatterChart>
      <c:scatterChart>
        <c:scatterStyle val="lineMarker"/>
        <c:varyColors val="0"/>
        <c:ser>
          <c:idx val="1"/>
          <c:order val="1"/>
          <c:tx>
            <c:strRef>
              <c:f>Tablas!$H$91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Tablas!$D$92:$D$97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Tablas!$H$92:$H$97</c:f>
              <c:numCache>
                <c:formatCode>0.00%</c:formatCode>
                <c:ptCount val="6"/>
                <c:pt idx="0">
                  <c:v>0.593</c:v>
                </c:pt>
                <c:pt idx="1">
                  <c:v>0.593</c:v>
                </c:pt>
                <c:pt idx="2">
                  <c:v>0.593</c:v>
                </c:pt>
                <c:pt idx="3">
                  <c:v>0.593</c:v>
                </c:pt>
                <c:pt idx="4">
                  <c:v>0.593</c:v>
                </c:pt>
                <c:pt idx="5">
                  <c:v>0.593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1055"/>
        <c:axId val="556086735"/>
      </c:scatterChart>
      <c:valAx>
        <c:axId val="5064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3852735"/>
        <c:crosses val="autoZero"/>
        <c:crossBetween val="midCat"/>
      </c:valAx>
      <c:valAx>
        <c:axId val="553852735"/>
        <c:scaling>
          <c:orientation val="minMax"/>
          <c:max val="0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06404959"/>
        <c:crosses val="autoZero"/>
        <c:crossBetween val="midCat"/>
      </c:valAx>
      <c:valAx>
        <c:axId val="55609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6086735"/>
        <c:crosses val="autoZero"/>
        <c:crossBetween val="midCat"/>
      </c:valAx>
      <c:valAx>
        <c:axId val="556086735"/>
        <c:scaling>
          <c:orientation val="minMax"/>
          <c:min val="0.5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609105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Presupuesto</a:t>
            </a:r>
            <a:r>
              <a:rPr lang="es-MX" baseline="0"/>
              <a:t> devengado por las unidades ejecutoras departamentales del programa de educación escolar de pre primaria,  por tipo de gasto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[1]tabla!$J$24</c:f>
              <c:strCache>
                <c:ptCount val="1"/>
                <c:pt idx="0">
                  <c:v>GASTOS DE FUNCIONAMIENTO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[1]tabla!$I$25:$I$30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[1]tabla!$J$25:$J$30</c:f>
              <c:numCache>
                <c:formatCode>General</c:formatCode>
                <c:ptCount val="6"/>
                <c:pt idx="0">
                  <c:v>999931204.850001</c:v>
                </c:pt>
                <c:pt idx="1">
                  <c:v>1031344119.94</c:v>
                </c:pt>
                <c:pt idx="2">
                  <c:v>1136245821.91</c:v>
                </c:pt>
                <c:pt idx="3">
                  <c:v>1315585407.11</c:v>
                </c:pt>
                <c:pt idx="4">
                  <c:v>1521265012.44</c:v>
                </c:pt>
                <c:pt idx="5">
                  <c:v>1572983404.19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68703"/>
        <c:axId val="1009169055"/>
      </c:scatterChart>
      <c:scatterChart>
        <c:scatterStyle val="lineMarker"/>
        <c:varyColors val="0"/>
        <c:ser>
          <c:idx val="1"/>
          <c:order val="1"/>
          <c:tx>
            <c:strRef>
              <c:f>[1]tabla!$K$24</c:f>
              <c:strCache>
                <c:ptCount val="1"/>
                <c:pt idx="0">
                  <c:v>INVERSIÓN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[1]tabla!$I$25:$I$30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[1]tabla!$K$25:$K$30</c:f>
              <c:numCache>
                <c:formatCode>General</c:formatCode>
                <c:ptCount val="6"/>
                <c:pt idx="0">
                  <c:v>0</c:v>
                </c:pt>
                <c:pt idx="1">
                  <c:v>38087</c:v>
                </c:pt>
                <c:pt idx="2">
                  <c:v>50453.5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93759"/>
        <c:axId val="1001395487"/>
      </c:scatterChart>
      <c:valAx>
        <c:axId val="10146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169055"/>
        <c:crosses val="autoZero"/>
        <c:crossBetween val="midCat"/>
      </c:valAx>
      <c:valAx>
        <c:axId val="1009169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Q-100A]* #,##0.00_-;\-[$Q-100A]* #,##0.00_-;_-[$Q-100A]* &quot;-&quot;??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4668703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s-MX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00139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395487"/>
        <c:crosses val="autoZero"/>
        <c:crossBetween val="midCat"/>
      </c:valAx>
      <c:valAx>
        <c:axId val="1001395487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39375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Estudiantes inscritos vs</a:t>
            </a:r>
            <a:r>
              <a:rPr lang="es-MX" baseline="0"/>
              <a:t> Proyección de población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2931116933501"/>
          <c:y val="0.134263006308903"/>
          <c:w val="0.759195137416854"/>
          <c:h val="0.75236712805656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Tablas!$Y$5</c:f>
              <c:strCache>
                <c:ptCount val="1"/>
                <c:pt idx="0">
                  <c:v>Inscritos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Tablas!$X$6:$X$27</c:f>
              <c:strCache>
                <c:ptCount val="22"/>
                <c:pt idx="0">
                  <c:v>El Progreso</c:v>
                </c:pt>
                <c:pt idx="1">
                  <c:v>Zacapa</c:v>
                </c:pt>
                <c:pt idx="2">
                  <c:v>Baja Verapaz</c:v>
                </c:pt>
                <c:pt idx="3">
                  <c:v>Sacatepéquez</c:v>
                </c:pt>
                <c:pt idx="4">
                  <c:v>Jalapa</c:v>
                </c:pt>
                <c:pt idx="5">
                  <c:v>Retalhuleu</c:v>
                </c:pt>
                <c:pt idx="6">
                  <c:v>Chiquimula</c:v>
                </c:pt>
                <c:pt idx="7">
                  <c:v>Totonicapán</c:v>
                </c:pt>
                <c:pt idx="8">
                  <c:v>Izabal</c:v>
                </c:pt>
                <c:pt idx="9">
                  <c:v>Santa Rosa</c:v>
                </c:pt>
                <c:pt idx="10">
                  <c:v>Sololá</c:v>
                </c:pt>
                <c:pt idx="11">
                  <c:v>Jutiapa</c:v>
                </c:pt>
                <c:pt idx="12">
                  <c:v>Chimaltenango</c:v>
                </c:pt>
                <c:pt idx="13">
                  <c:v>Suchitepéquez</c:v>
                </c:pt>
                <c:pt idx="14">
                  <c:v>Petén</c:v>
                </c:pt>
                <c:pt idx="15">
                  <c:v>Escuintla</c:v>
                </c:pt>
                <c:pt idx="16">
                  <c:v>Quetzaltenango</c:v>
                </c:pt>
                <c:pt idx="17">
                  <c:v>Quiché</c:v>
                </c:pt>
                <c:pt idx="18">
                  <c:v>Huehuetenango</c:v>
                </c:pt>
                <c:pt idx="19">
                  <c:v>Alta Verapaz</c:v>
                </c:pt>
                <c:pt idx="20">
                  <c:v>San Marcos</c:v>
                </c:pt>
                <c:pt idx="21">
                  <c:v>Guatemala</c:v>
                </c:pt>
              </c:strCache>
            </c:strRef>
          </c:cat>
          <c:val>
            <c:numRef>
              <c:f>Tablas!$Y$6:$Y$27</c:f>
              <c:numCache>
                <c:formatCode>General</c:formatCode>
                <c:ptCount val="22"/>
                <c:pt idx="0">
                  <c:v>2298</c:v>
                </c:pt>
                <c:pt idx="1">
                  <c:v>3217</c:v>
                </c:pt>
                <c:pt idx="2">
                  <c:v>3948</c:v>
                </c:pt>
                <c:pt idx="3">
                  <c:v>4356</c:v>
                </c:pt>
                <c:pt idx="4">
                  <c:v>4558</c:v>
                </c:pt>
                <c:pt idx="5">
                  <c:v>4699</c:v>
                </c:pt>
                <c:pt idx="6">
                  <c:v>5219</c:v>
                </c:pt>
                <c:pt idx="7">
                  <c:v>5469</c:v>
                </c:pt>
                <c:pt idx="8">
                  <c:v>5131</c:v>
                </c:pt>
                <c:pt idx="9">
                  <c:v>5256</c:v>
                </c:pt>
                <c:pt idx="10">
                  <c:v>5914</c:v>
                </c:pt>
                <c:pt idx="11">
                  <c:v>7005</c:v>
                </c:pt>
                <c:pt idx="12">
                  <c:v>7148</c:v>
                </c:pt>
                <c:pt idx="13">
                  <c:v>7885</c:v>
                </c:pt>
                <c:pt idx="14">
                  <c:v>7449</c:v>
                </c:pt>
                <c:pt idx="15">
                  <c:v>9834</c:v>
                </c:pt>
                <c:pt idx="16">
                  <c:v>9681</c:v>
                </c:pt>
                <c:pt idx="17">
                  <c:v>9792</c:v>
                </c:pt>
                <c:pt idx="18">
                  <c:v>11640</c:v>
                </c:pt>
                <c:pt idx="19">
                  <c:v>11513</c:v>
                </c:pt>
                <c:pt idx="20">
                  <c:v>12905</c:v>
                </c:pt>
                <c:pt idx="21">
                  <c:v>43271</c:v>
                </c:pt>
              </c:numCache>
            </c:numRef>
          </c:val>
        </c:ser>
        <c:ser>
          <c:idx val="1"/>
          <c:order val="1"/>
          <c:tx>
            <c:strRef>
              <c:f>Tablas!$Z$5</c:f>
              <c:strCache>
                <c:ptCount val="1"/>
                <c:pt idx="0">
                  <c:v>Proyección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Tablas!$X$6:$X$27</c:f>
              <c:strCache>
                <c:ptCount val="22"/>
                <c:pt idx="0">
                  <c:v>El Progreso</c:v>
                </c:pt>
                <c:pt idx="1">
                  <c:v>Zacapa</c:v>
                </c:pt>
                <c:pt idx="2">
                  <c:v>Baja Verapaz</c:v>
                </c:pt>
                <c:pt idx="3">
                  <c:v>Sacatepéquez</c:v>
                </c:pt>
                <c:pt idx="4">
                  <c:v>Jalapa</c:v>
                </c:pt>
                <c:pt idx="5">
                  <c:v>Retalhuleu</c:v>
                </c:pt>
                <c:pt idx="6">
                  <c:v>Chiquimula</c:v>
                </c:pt>
                <c:pt idx="7">
                  <c:v>Totonicapán</c:v>
                </c:pt>
                <c:pt idx="8">
                  <c:v>Izabal</c:v>
                </c:pt>
                <c:pt idx="9">
                  <c:v>Santa Rosa</c:v>
                </c:pt>
                <c:pt idx="10">
                  <c:v>Sololá</c:v>
                </c:pt>
                <c:pt idx="11">
                  <c:v>Jutiapa</c:v>
                </c:pt>
                <c:pt idx="12">
                  <c:v>Chimaltenango</c:v>
                </c:pt>
                <c:pt idx="13">
                  <c:v>Suchitepéquez</c:v>
                </c:pt>
                <c:pt idx="14">
                  <c:v>Petén</c:v>
                </c:pt>
                <c:pt idx="15">
                  <c:v>Escuintla</c:v>
                </c:pt>
                <c:pt idx="16">
                  <c:v>Quetzaltenango</c:v>
                </c:pt>
                <c:pt idx="17">
                  <c:v>Quiché</c:v>
                </c:pt>
                <c:pt idx="18">
                  <c:v>Huehuetenango</c:v>
                </c:pt>
                <c:pt idx="19">
                  <c:v>Alta Verapaz</c:v>
                </c:pt>
                <c:pt idx="20">
                  <c:v>San Marcos</c:v>
                </c:pt>
                <c:pt idx="21">
                  <c:v>Guatemala</c:v>
                </c:pt>
              </c:strCache>
            </c:strRef>
          </c:cat>
          <c:val>
            <c:numRef>
              <c:f>Tablas!$Z$6:$Z$27</c:f>
              <c:numCache>
                <c:formatCode>General</c:formatCode>
                <c:ptCount val="22"/>
                <c:pt idx="0">
                  <c:v>1870</c:v>
                </c:pt>
                <c:pt idx="1">
                  <c:v>2421</c:v>
                </c:pt>
                <c:pt idx="2">
                  <c:v>4214</c:v>
                </c:pt>
                <c:pt idx="3">
                  <c:v>3742</c:v>
                </c:pt>
                <c:pt idx="4">
                  <c:v>5894</c:v>
                </c:pt>
                <c:pt idx="5">
                  <c:v>3549</c:v>
                </c:pt>
                <c:pt idx="6">
                  <c:v>6014</c:v>
                </c:pt>
                <c:pt idx="7">
                  <c:v>11365</c:v>
                </c:pt>
                <c:pt idx="8">
                  <c:v>6567</c:v>
                </c:pt>
                <c:pt idx="9">
                  <c:v>4364</c:v>
                </c:pt>
                <c:pt idx="10">
                  <c:v>8898</c:v>
                </c:pt>
                <c:pt idx="11">
                  <c:v>6448</c:v>
                </c:pt>
                <c:pt idx="12">
                  <c:v>12361</c:v>
                </c:pt>
                <c:pt idx="13">
                  <c:v>6807</c:v>
                </c:pt>
                <c:pt idx="14">
                  <c:v>13466</c:v>
                </c:pt>
                <c:pt idx="15">
                  <c:v>7297</c:v>
                </c:pt>
                <c:pt idx="16">
                  <c:v>12725</c:v>
                </c:pt>
                <c:pt idx="17">
                  <c:v>23687</c:v>
                </c:pt>
                <c:pt idx="18">
                  <c:v>23845</c:v>
                </c:pt>
                <c:pt idx="19">
                  <c:v>23683</c:v>
                </c:pt>
                <c:pt idx="20">
                  <c:v>16636</c:v>
                </c:pt>
                <c:pt idx="21">
                  <c:v>25114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498400"/>
        <c:axId val="2007468800"/>
      </c:barChart>
      <c:catAx>
        <c:axId val="182149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7468800"/>
        <c:crosses val="autoZero"/>
        <c:auto val="1"/>
        <c:lblAlgn val="ctr"/>
        <c:lblOffset val="100"/>
        <c:noMultiLvlLbl val="0"/>
      </c:catAx>
      <c:valAx>
        <c:axId val="2007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4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Presupuesto de unidades</a:t>
            </a:r>
            <a:r>
              <a:rPr lang="es-MX" baseline="0"/>
              <a:t> ejecutoras departamentales del programa de educación escolar de pre primaria,  por grupo de gasto (año 2011=100%)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Servicios personales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100</c:v>
                </c:pt>
                <c:pt idx="1">
                  <c:v>102.905498594268</c:v>
                </c:pt>
                <c:pt idx="2">
                  <c:v>113.30610011154</c:v>
                </c:pt>
                <c:pt idx="3">
                  <c:v>131.593168136492</c:v>
                </c:pt>
                <c:pt idx="4">
                  <c:v>154.022903818479</c:v>
                </c:pt>
                <c:pt idx="5">
                  <c:v>159.529003414803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Sheet1!$T$28</c:f>
              <c:strCache>
                <c:ptCount val="1"/>
                <c:pt idx="0">
                  <c:v>Materiales y Suministros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100</c:v>
                </c:pt>
                <c:pt idx="1">
                  <c:v>108.408922886161</c:v>
                </c:pt>
                <c:pt idx="2">
                  <c:v>57.2165974938343</c:v>
                </c:pt>
                <c:pt idx="3">
                  <c:v>108.946439957771</c:v>
                </c:pt>
                <c:pt idx="4">
                  <c:v>42.7125807903403</c:v>
                </c:pt>
                <c:pt idx="5">
                  <c:v>9.93606401393203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Sheet1!$U$28</c:f>
              <c:strCache>
                <c:ptCount val="1"/>
                <c:pt idx="0">
                  <c:v>Transferencias corrientes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Sheet1!$U$29:$U$34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20.8396244298245</c:v>
                </c:pt>
                <c:pt idx="4">
                  <c:v>90.9905753961679</c:v>
                </c:pt>
                <c:pt idx="5">
                  <c:v>139.282004172118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Sheet1!$V$28</c:f>
              <c:strCache>
                <c:ptCount val="1"/>
                <c:pt idx="0">
                  <c:v>Servicios no personales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Sheet1!$N$29:$N$34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Sheet1!$V$29:$V$34</c:f>
              <c:numCache>
                <c:formatCode>General</c:formatCode>
                <c:ptCount val="6"/>
                <c:pt idx="0">
                  <c:v>100</c:v>
                </c:pt>
                <c:pt idx="1">
                  <c:v>112.678167098178</c:v>
                </c:pt>
                <c:pt idx="2">
                  <c:v>90.4280295768851</c:v>
                </c:pt>
                <c:pt idx="3">
                  <c:v>177.261205289632</c:v>
                </c:pt>
                <c:pt idx="4">
                  <c:v>62.17041122089</c:v>
                </c:pt>
                <c:pt idx="5">
                  <c:v>80.3877212111801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256544"/>
        <c:axId val="370125008"/>
      </c:lineChart>
      <c:catAx>
        <c:axId val="20062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125008"/>
        <c:crosses val="autoZero"/>
        <c:auto val="1"/>
        <c:lblAlgn val="ctr"/>
        <c:lblOffset val="100"/>
        <c:noMultiLvlLbl val="0"/>
      </c:catAx>
      <c:valAx>
        <c:axId val="370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62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311457</xdr:colOff>
      <xdr:row>39</xdr:row>
      <xdr:rowOff>41535</xdr:rowOff>
    </xdr:from>
    <xdr:to>
      <xdr:col>13</xdr:col>
      <xdr:colOff>184814</xdr:colOff>
      <xdr:row>57</xdr:row>
      <xdr:rowOff>71080</xdr:rowOff>
    </xdr:to>
    <xdr:graphicFrame>
      <xdr:nvGraphicFramePr>
        <xdr:cNvPr id="10" name="Chart 9"/>
        <xdr:cNvGraphicFramePr/>
      </xdr:nvGraphicFramePr>
      <xdr:xfrm>
        <a:off x="1825625" y="7680325"/>
        <a:ext cx="5560060" cy="345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457080</xdr:colOff>
      <xdr:row>39</xdr:row>
      <xdr:rowOff>27331</xdr:rowOff>
    </xdr:from>
    <xdr:to>
      <xdr:col>20</xdr:col>
      <xdr:colOff>412276</xdr:colOff>
      <xdr:row>57</xdr:row>
      <xdr:rowOff>71082</xdr:rowOff>
    </xdr:to>
    <xdr:graphicFrame>
      <xdr:nvGraphicFramePr>
        <xdr:cNvPr id="11" name="Chart 10"/>
        <xdr:cNvGraphicFramePr/>
      </xdr:nvGraphicFramePr>
      <xdr:xfrm>
        <a:off x="7657465" y="7666355"/>
        <a:ext cx="5708650" cy="347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668267</xdr:colOff>
      <xdr:row>5</xdr:row>
      <xdr:rowOff>190499</xdr:rowOff>
    </xdr:from>
    <xdr:to>
      <xdr:col>22</xdr:col>
      <xdr:colOff>497416</xdr:colOff>
      <xdr:row>36</xdr:row>
      <xdr:rowOff>11905</xdr:rowOff>
    </xdr:to>
    <xdr:graphicFrame>
      <xdr:nvGraphicFramePr>
        <xdr:cNvPr id="7" name="Chart 6"/>
        <xdr:cNvGraphicFramePr/>
      </xdr:nvGraphicFramePr>
      <xdr:xfrm>
        <a:off x="9840595" y="1151890"/>
        <a:ext cx="5296535" cy="592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290141</xdr:colOff>
      <xdr:row>58</xdr:row>
      <xdr:rowOff>160872</xdr:rowOff>
    </xdr:from>
    <xdr:to>
      <xdr:col>13</xdr:col>
      <xdr:colOff>199030</xdr:colOff>
      <xdr:row>75</xdr:row>
      <xdr:rowOff>169334</xdr:rowOff>
    </xdr:to>
    <xdr:graphicFrame>
      <xdr:nvGraphicFramePr>
        <xdr:cNvPr id="8" name="Chart 7"/>
        <xdr:cNvGraphicFramePr/>
      </xdr:nvGraphicFramePr>
      <xdr:xfrm>
        <a:off x="1804035" y="11419205"/>
        <a:ext cx="5595620" cy="324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571502</xdr:colOff>
      <xdr:row>1</xdr:row>
      <xdr:rowOff>170391</xdr:rowOff>
    </xdr:from>
    <xdr:to>
      <xdr:col>22</xdr:col>
      <xdr:colOff>465668</xdr:colOff>
      <xdr:row>4</xdr:row>
      <xdr:rowOff>152837</xdr:rowOff>
    </xdr:to>
    <xdr:pic>
      <xdr:nvPicPr>
        <xdr:cNvPr id="4" name="Picture 3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4650" y="360680"/>
          <a:ext cx="760730" cy="563245"/>
        </a:xfrm>
        <a:prstGeom prst="rect">
          <a:avLst/>
        </a:prstGeom>
      </xdr:spPr>
    </xdr:pic>
    <xdr:clientData/>
  </xdr:twoCellAnchor>
  <xdr:twoCellAnchor>
    <xdr:from>
      <xdr:col>9</xdr:col>
      <xdr:colOff>253397</xdr:colOff>
      <xdr:row>6</xdr:row>
      <xdr:rowOff>169334</xdr:rowOff>
    </xdr:from>
    <xdr:to>
      <xdr:col>16</xdr:col>
      <xdr:colOff>560916</xdr:colOff>
      <xdr:row>30</xdr:row>
      <xdr:rowOff>179918</xdr:rowOff>
    </xdr:to>
    <xdr:graphicFrame>
      <xdr:nvGraphicFramePr>
        <xdr:cNvPr id="14" name="Chart 13"/>
        <xdr:cNvGraphicFramePr/>
      </xdr:nvGraphicFramePr>
      <xdr:xfrm>
        <a:off x="4768215" y="1407160"/>
        <a:ext cx="4965065" cy="4554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489172</xdr:colOff>
      <xdr:row>76</xdr:row>
      <xdr:rowOff>169340</xdr:rowOff>
    </xdr:from>
    <xdr:to>
      <xdr:col>20</xdr:col>
      <xdr:colOff>412276</xdr:colOff>
      <xdr:row>94</xdr:row>
      <xdr:rowOff>39015</xdr:rowOff>
    </xdr:to>
    <xdr:graphicFrame>
      <xdr:nvGraphicFramePr>
        <xdr:cNvPr id="15" name="Chart 14"/>
        <xdr:cNvGraphicFramePr/>
      </xdr:nvGraphicFramePr>
      <xdr:xfrm>
        <a:off x="7689850" y="14856460"/>
        <a:ext cx="5676265" cy="329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476250</xdr:colOff>
      <xdr:row>58</xdr:row>
      <xdr:rowOff>148166</xdr:rowOff>
    </xdr:from>
    <xdr:to>
      <xdr:col>20</xdr:col>
      <xdr:colOff>391583</xdr:colOff>
      <xdr:row>75</xdr:row>
      <xdr:rowOff>148165</xdr:rowOff>
    </xdr:to>
    <xdr:graphicFrame>
      <xdr:nvGraphicFramePr>
        <xdr:cNvPr id="12" name="Chart 11"/>
        <xdr:cNvGraphicFramePr/>
      </xdr:nvGraphicFramePr>
      <xdr:xfrm>
        <a:off x="7677150" y="11406505"/>
        <a:ext cx="566801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10586</xdr:colOff>
      <xdr:row>5</xdr:row>
      <xdr:rowOff>261940</xdr:rowOff>
    </xdr:from>
    <xdr:to>
      <xdr:col>9</xdr:col>
      <xdr:colOff>381001</xdr:colOff>
      <xdr:row>32</xdr:row>
      <xdr:rowOff>130971</xdr:rowOff>
    </xdr:to>
    <xdr:graphicFrame>
      <xdr:nvGraphicFramePr>
        <xdr:cNvPr id="16" name="Chart 15"/>
        <xdr:cNvGraphicFramePr/>
      </xdr:nvGraphicFramePr>
      <xdr:xfrm>
        <a:off x="10160" y="1223645"/>
        <a:ext cx="4885690" cy="50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273844</xdr:colOff>
      <xdr:row>76</xdr:row>
      <xdr:rowOff>166689</xdr:rowOff>
    </xdr:from>
    <xdr:to>
      <xdr:col>13</xdr:col>
      <xdr:colOff>207168</xdr:colOff>
      <xdr:row>94</xdr:row>
      <xdr:rowOff>11907</xdr:rowOff>
    </xdr:to>
    <xdr:graphicFrame>
      <xdr:nvGraphicFramePr>
        <xdr:cNvPr id="18" name="Chart 17"/>
        <xdr:cNvGraphicFramePr/>
      </xdr:nvGraphicFramePr>
      <xdr:xfrm>
        <a:off x="1788160" y="14853920"/>
        <a:ext cx="5619750" cy="3274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285750</xdr:colOff>
      <xdr:row>13</xdr:row>
      <xdr:rowOff>28575</xdr:rowOff>
    </xdr:from>
    <xdr:to>
      <xdr:col>10</xdr:col>
      <xdr:colOff>552450</xdr:colOff>
      <xdr:row>33</xdr:row>
      <xdr:rowOff>28575</xdr:rowOff>
    </xdr:to>
    <xdr:graphicFrame>
      <xdr:nvGraphicFramePr>
        <xdr:cNvPr id="3" name="Chart 2"/>
        <xdr:cNvGraphicFramePr/>
      </xdr:nvGraphicFramePr>
      <xdr:xfrm>
        <a:off x="1485900" y="2505075"/>
        <a:ext cx="506730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3</xdr:row>
      <xdr:rowOff>38100</xdr:rowOff>
    </xdr:from>
    <xdr:to>
      <xdr:col>19</xdr:col>
      <xdr:colOff>985837</xdr:colOff>
      <xdr:row>23</xdr:row>
      <xdr:rowOff>147637</xdr:rowOff>
    </xdr:to>
    <xdr:graphicFrame>
      <xdr:nvGraphicFramePr>
        <xdr:cNvPr id="6" name="Chart 5"/>
        <xdr:cNvGraphicFramePr/>
      </xdr:nvGraphicFramePr>
      <xdr:xfrm>
        <a:off x="8791575" y="609600"/>
        <a:ext cx="6148070" cy="391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amilo\Documents\MINFIN\2.EDUCACION\Mineduc%202011%20a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"/>
      <sheetName val="Datos"/>
      <sheetName val="Hoja2"/>
      <sheetName val="Hoja3"/>
    </sheetNames>
    <sheetDataSet>
      <sheetData sheetId="0">
        <row r="24">
          <cell r="J24" t="str">
            <v>GASTOS DE FUNCIONAMIENTO</v>
          </cell>
          <cell r="K24" t="str">
            <v>INVERSIÓN</v>
          </cell>
        </row>
        <row r="25">
          <cell r="I25">
            <v>2011</v>
          </cell>
          <cell r="J25">
            <v>999931204.850001</v>
          </cell>
          <cell r="K25">
            <v>0</v>
          </cell>
        </row>
        <row r="26">
          <cell r="I26">
            <v>2012</v>
          </cell>
          <cell r="J26">
            <v>1031344119.94</v>
          </cell>
          <cell r="K26">
            <v>38087</v>
          </cell>
        </row>
        <row r="27">
          <cell r="I27">
            <v>2013</v>
          </cell>
          <cell r="J27">
            <v>1136245821.91</v>
          </cell>
          <cell r="K27">
            <v>50453.5</v>
          </cell>
        </row>
        <row r="28">
          <cell r="I28">
            <v>2014</v>
          </cell>
          <cell r="J28">
            <v>1315585407.11</v>
          </cell>
          <cell r="K28">
            <v>0</v>
          </cell>
        </row>
        <row r="29">
          <cell r="I29">
            <v>2015</v>
          </cell>
          <cell r="J29">
            <v>1521265012.44</v>
          </cell>
          <cell r="K29">
            <v>0</v>
          </cell>
        </row>
        <row r="30">
          <cell r="I30">
            <v>2016</v>
          </cell>
          <cell r="J30">
            <v>1572983404.19</v>
          </cell>
          <cell r="K30">
            <v>0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ook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34.5200627315" refreshedBy="Camilo" recordCount="264">
  <cacheSource type="worksheet">
    <worksheetSource ref="D3:G267" sheet="Inscritos" r:id="rId2"/>
  </cacheSource>
  <cacheFields count="4">
    <cacheField name="Depto" numFmtId="0">
      <sharedItems count="22">
        <s v="Guatemala"/>
        <s v="El Progreso"/>
        <s v="Sacatepéquez"/>
        <s v="Chimaltenango"/>
        <s v="Escuintla"/>
        <s v="Santa Rosa"/>
        <s v="Sololá"/>
        <s v="Totonicapán"/>
        <s v="Quetzaltenango"/>
        <s v="Suchitepéquez"/>
        <s v="Retalhuleu"/>
        <s v="San Marcos"/>
        <s v="Huehuetenango"/>
        <s v="Quiché"/>
        <s v="Baja Verapaz"/>
        <s v="Alta Verapaz"/>
        <s v="Petén"/>
        <s v="Izabal"/>
        <s v="Zacapa"/>
        <s v="Chiquimula"/>
        <s v="Jalapa"/>
        <s v="Jutiapa"/>
      </sharedItems>
    </cacheField>
    <cacheField name="Cantidad" numFmtId="3"/>
    <cacheField name="Sexo" numFmtId="0">
      <sharedItems count="2">
        <s v="M"/>
        <s v="F"/>
      </sharedItems>
    </cacheField>
    <cacheField name="Añ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34.5192797454" refreshedBy="Camilo" recordCount="264">
  <cacheSource type="worksheet">
    <worksheetSource ref="C4:F268" sheet="Población" r:id="rId2"/>
  </cacheSource>
  <cacheFields count="4">
    <cacheField name="Depto" numFmtId="0">
      <sharedItems count="22">
        <s v="Guatemala"/>
        <s v="El Progreso"/>
        <s v="Sacatepéquez"/>
        <s v="Chimaltenango"/>
        <s v="Escuintla"/>
        <s v="Santa Rosa"/>
        <s v="Sololá"/>
        <s v="Totonicapán"/>
        <s v="Quetzaltenango"/>
        <s v="Suchitepéquez"/>
        <s v="Retalhuleu"/>
        <s v="San Marcos"/>
        <s v="Huehuetenango"/>
        <s v="Quiché"/>
        <s v="Baja Verapaz"/>
        <s v="Alta Verapaz"/>
        <s v="Petén"/>
        <s v="Izabal"/>
        <s v="Zacapa"/>
        <s v="Chiquimula"/>
        <s v="Jalapa"/>
        <s v="Jutiapa"/>
      </sharedItems>
    </cacheField>
    <cacheField name="Cantidad" numFmtId="3"/>
    <cacheField name="Sexo" numFmtId="0">
      <sharedItems count="2">
        <s v="M"/>
        <s v="F"/>
      </sharedItems>
    </cacheField>
    <cacheField name="Añ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n v="44362"/>
    <x v="0"/>
    <x v="0"/>
  </r>
  <r>
    <x v="1"/>
    <n v="2169"/>
    <x v="0"/>
    <x v="0"/>
  </r>
  <r>
    <x v="2"/>
    <n v="4402"/>
    <x v="0"/>
    <x v="0"/>
  </r>
  <r>
    <x v="3"/>
    <n v="7226"/>
    <x v="0"/>
    <x v="0"/>
  </r>
  <r>
    <x v="4"/>
    <n v="9979"/>
    <x v="0"/>
    <x v="0"/>
  </r>
  <r>
    <x v="5"/>
    <n v="5632"/>
    <x v="0"/>
    <x v="0"/>
  </r>
  <r>
    <x v="6"/>
    <n v="5821"/>
    <x v="0"/>
    <x v="0"/>
  </r>
  <r>
    <x v="7"/>
    <n v="5313"/>
    <x v="0"/>
    <x v="0"/>
  </r>
  <r>
    <x v="8"/>
    <n v="9940"/>
    <x v="0"/>
    <x v="0"/>
  </r>
  <r>
    <x v="9"/>
    <n v="8399"/>
    <x v="0"/>
    <x v="0"/>
  </r>
  <r>
    <x v="10"/>
    <n v="5185"/>
    <x v="0"/>
    <x v="0"/>
  </r>
  <r>
    <x v="11"/>
    <n v="13431"/>
    <x v="0"/>
    <x v="0"/>
  </r>
  <r>
    <x v="12"/>
    <n v="12787"/>
    <x v="0"/>
    <x v="0"/>
  </r>
  <r>
    <x v="13"/>
    <n v="10597"/>
    <x v="0"/>
    <x v="0"/>
  </r>
  <r>
    <x v="14"/>
    <n v="4085"/>
    <x v="0"/>
    <x v="0"/>
  </r>
  <r>
    <x v="15"/>
    <n v="12757"/>
    <x v="0"/>
    <x v="0"/>
  </r>
  <r>
    <x v="16"/>
    <n v="7314"/>
    <x v="0"/>
    <x v="0"/>
  </r>
  <r>
    <x v="17"/>
    <n v="5729"/>
    <x v="0"/>
    <x v="0"/>
  </r>
  <r>
    <x v="18"/>
    <n v="3396"/>
    <x v="0"/>
    <x v="0"/>
  </r>
  <r>
    <x v="19"/>
    <n v="5629"/>
    <x v="0"/>
    <x v="0"/>
  </r>
  <r>
    <x v="20"/>
    <n v="4903"/>
    <x v="0"/>
    <x v="0"/>
  </r>
  <r>
    <x v="21"/>
    <n v="7414"/>
    <x v="0"/>
    <x v="0"/>
  </r>
  <r>
    <x v="0"/>
    <n v="45877"/>
    <x v="1"/>
    <x v="0"/>
  </r>
  <r>
    <x v="1"/>
    <n v="2248"/>
    <x v="1"/>
    <x v="0"/>
  </r>
  <r>
    <x v="2"/>
    <n v="4467"/>
    <x v="1"/>
    <x v="0"/>
  </r>
  <r>
    <x v="3"/>
    <n v="7379"/>
    <x v="1"/>
    <x v="0"/>
  </r>
  <r>
    <x v="4"/>
    <n v="10554"/>
    <x v="1"/>
    <x v="0"/>
  </r>
  <r>
    <x v="5"/>
    <n v="5698"/>
    <x v="1"/>
    <x v="0"/>
  </r>
  <r>
    <x v="6"/>
    <n v="5897"/>
    <x v="1"/>
    <x v="0"/>
  </r>
  <r>
    <x v="7"/>
    <n v="5659"/>
    <x v="1"/>
    <x v="0"/>
  </r>
  <r>
    <x v="8"/>
    <n v="10306"/>
    <x v="1"/>
    <x v="0"/>
  </r>
  <r>
    <x v="9"/>
    <n v="8728"/>
    <x v="1"/>
    <x v="0"/>
  </r>
  <r>
    <x v="10"/>
    <n v="5112"/>
    <x v="1"/>
    <x v="0"/>
  </r>
  <r>
    <x v="11"/>
    <n v="13664"/>
    <x v="1"/>
    <x v="0"/>
  </r>
  <r>
    <x v="12"/>
    <n v="13140"/>
    <x v="1"/>
    <x v="0"/>
  </r>
  <r>
    <x v="13"/>
    <n v="11075"/>
    <x v="1"/>
    <x v="0"/>
  </r>
  <r>
    <x v="14"/>
    <n v="4092"/>
    <x v="1"/>
    <x v="0"/>
  </r>
  <r>
    <x v="15"/>
    <n v="13227"/>
    <x v="1"/>
    <x v="0"/>
  </r>
  <r>
    <x v="16"/>
    <n v="7591"/>
    <x v="1"/>
    <x v="0"/>
  </r>
  <r>
    <x v="17"/>
    <n v="5813"/>
    <x v="1"/>
    <x v="0"/>
  </r>
  <r>
    <x v="18"/>
    <n v="3555"/>
    <x v="1"/>
    <x v="0"/>
  </r>
  <r>
    <x v="19"/>
    <n v="5698"/>
    <x v="1"/>
    <x v="0"/>
  </r>
  <r>
    <x v="20"/>
    <n v="5086"/>
    <x v="1"/>
    <x v="0"/>
  </r>
  <r>
    <x v="21"/>
    <n v="7437"/>
    <x v="1"/>
    <x v="0"/>
  </r>
  <r>
    <x v="0"/>
    <n v="45029"/>
    <x v="0"/>
    <x v="1"/>
  </r>
  <r>
    <x v="1"/>
    <n v="2301"/>
    <x v="0"/>
    <x v="1"/>
  </r>
  <r>
    <x v="2"/>
    <n v="4443"/>
    <x v="0"/>
    <x v="1"/>
  </r>
  <r>
    <x v="3"/>
    <n v="7214"/>
    <x v="0"/>
    <x v="1"/>
  </r>
  <r>
    <x v="4"/>
    <n v="10429"/>
    <x v="0"/>
    <x v="1"/>
  </r>
  <r>
    <x v="5"/>
    <n v="5480"/>
    <x v="0"/>
    <x v="1"/>
  </r>
  <r>
    <x v="6"/>
    <n v="6060"/>
    <x v="0"/>
    <x v="1"/>
  </r>
  <r>
    <x v="7"/>
    <n v="5417"/>
    <x v="0"/>
    <x v="1"/>
  </r>
  <r>
    <x v="8"/>
    <n v="10038"/>
    <x v="0"/>
    <x v="1"/>
  </r>
  <r>
    <x v="9"/>
    <n v="8230"/>
    <x v="0"/>
    <x v="1"/>
  </r>
  <r>
    <x v="10"/>
    <n v="4936"/>
    <x v="0"/>
    <x v="1"/>
  </r>
  <r>
    <x v="11"/>
    <n v="13196"/>
    <x v="0"/>
    <x v="1"/>
  </r>
  <r>
    <x v="12"/>
    <n v="12063"/>
    <x v="0"/>
    <x v="1"/>
  </r>
  <r>
    <x v="13"/>
    <n v="10166"/>
    <x v="0"/>
    <x v="1"/>
  </r>
  <r>
    <x v="14"/>
    <n v="3948"/>
    <x v="0"/>
    <x v="1"/>
  </r>
  <r>
    <x v="15"/>
    <n v="11992"/>
    <x v="0"/>
    <x v="1"/>
  </r>
  <r>
    <x v="16"/>
    <n v="7520"/>
    <x v="0"/>
    <x v="1"/>
  </r>
  <r>
    <x v="17"/>
    <n v="5321"/>
    <x v="0"/>
    <x v="1"/>
  </r>
  <r>
    <x v="18"/>
    <n v="3309"/>
    <x v="0"/>
    <x v="1"/>
  </r>
  <r>
    <x v="19"/>
    <n v="5333"/>
    <x v="0"/>
    <x v="1"/>
  </r>
  <r>
    <x v="20"/>
    <n v="4789"/>
    <x v="0"/>
    <x v="1"/>
  </r>
  <r>
    <x v="21"/>
    <n v="7079"/>
    <x v="0"/>
    <x v="1"/>
  </r>
  <r>
    <x v="0"/>
    <n v="43271"/>
    <x v="1"/>
    <x v="1"/>
  </r>
  <r>
    <x v="1"/>
    <n v="2298"/>
    <x v="1"/>
    <x v="1"/>
  </r>
  <r>
    <x v="2"/>
    <n v="4356"/>
    <x v="1"/>
    <x v="1"/>
  </r>
  <r>
    <x v="3"/>
    <n v="7148"/>
    <x v="1"/>
    <x v="1"/>
  </r>
  <r>
    <x v="4"/>
    <n v="9834"/>
    <x v="1"/>
    <x v="1"/>
  </r>
  <r>
    <x v="5"/>
    <n v="5256"/>
    <x v="1"/>
    <x v="1"/>
  </r>
  <r>
    <x v="6"/>
    <n v="5914"/>
    <x v="1"/>
    <x v="1"/>
  </r>
  <r>
    <x v="7"/>
    <n v="5469"/>
    <x v="1"/>
    <x v="1"/>
  </r>
  <r>
    <x v="8"/>
    <n v="9681"/>
    <x v="1"/>
    <x v="1"/>
  </r>
  <r>
    <x v="9"/>
    <n v="7885"/>
    <x v="1"/>
    <x v="1"/>
  </r>
  <r>
    <x v="10"/>
    <n v="4699"/>
    <x v="1"/>
    <x v="1"/>
  </r>
  <r>
    <x v="11"/>
    <n v="12905"/>
    <x v="1"/>
    <x v="1"/>
  </r>
  <r>
    <x v="12"/>
    <n v="11640"/>
    <x v="1"/>
    <x v="1"/>
  </r>
  <r>
    <x v="13"/>
    <n v="9792"/>
    <x v="1"/>
    <x v="1"/>
  </r>
  <r>
    <x v="14"/>
    <n v="3948"/>
    <x v="1"/>
    <x v="1"/>
  </r>
  <r>
    <x v="15"/>
    <n v="11513"/>
    <x v="1"/>
    <x v="1"/>
  </r>
  <r>
    <x v="16"/>
    <n v="7449"/>
    <x v="1"/>
    <x v="1"/>
  </r>
  <r>
    <x v="17"/>
    <n v="5131"/>
    <x v="1"/>
    <x v="1"/>
  </r>
  <r>
    <x v="18"/>
    <n v="3217"/>
    <x v="1"/>
    <x v="1"/>
  </r>
  <r>
    <x v="19"/>
    <n v="5219"/>
    <x v="1"/>
    <x v="1"/>
  </r>
  <r>
    <x v="20"/>
    <n v="4558"/>
    <x v="1"/>
    <x v="1"/>
  </r>
  <r>
    <x v="21"/>
    <n v="7005"/>
    <x v="1"/>
    <x v="1"/>
  </r>
  <r>
    <x v="0"/>
    <n v="45757"/>
    <x v="0"/>
    <x v="2"/>
  </r>
  <r>
    <x v="1"/>
    <n v="2498"/>
    <x v="0"/>
    <x v="2"/>
  </r>
  <r>
    <x v="2"/>
    <n v="4513"/>
    <x v="0"/>
    <x v="2"/>
  </r>
  <r>
    <x v="3"/>
    <n v="7382"/>
    <x v="0"/>
    <x v="2"/>
  </r>
  <r>
    <x v="4"/>
    <n v="10335"/>
    <x v="0"/>
    <x v="2"/>
  </r>
  <r>
    <x v="5"/>
    <n v="5769"/>
    <x v="0"/>
    <x v="2"/>
  </r>
  <r>
    <x v="6"/>
    <n v="6353"/>
    <x v="0"/>
    <x v="2"/>
  </r>
  <r>
    <x v="7"/>
    <n v="5587"/>
    <x v="0"/>
    <x v="2"/>
  </r>
  <r>
    <x v="8"/>
    <n v="10987"/>
    <x v="0"/>
    <x v="2"/>
  </r>
  <r>
    <x v="9"/>
    <n v="8285"/>
    <x v="0"/>
    <x v="2"/>
  </r>
  <r>
    <x v="10"/>
    <n v="5110"/>
    <x v="0"/>
    <x v="2"/>
  </r>
  <r>
    <x v="11"/>
    <n v="13777"/>
    <x v="0"/>
    <x v="2"/>
  </r>
  <r>
    <x v="12"/>
    <n v="12843"/>
    <x v="0"/>
    <x v="2"/>
  </r>
  <r>
    <x v="13"/>
    <n v="10379"/>
    <x v="0"/>
    <x v="2"/>
  </r>
  <r>
    <x v="14"/>
    <n v="4156"/>
    <x v="0"/>
    <x v="2"/>
  </r>
  <r>
    <x v="15"/>
    <n v="12766"/>
    <x v="0"/>
    <x v="2"/>
  </r>
  <r>
    <x v="16"/>
    <n v="8151"/>
    <x v="0"/>
    <x v="2"/>
  </r>
  <r>
    <x v="17"/>
    <n v="5384"/>
    <x v="0"/>
    <x v="2"/>
  </r>
  <r>
    <x v="18"/>
    <n v="3494"/>
    <x v="0"/>
    <x v="2"/>
  </r>
  <r>
    <x v="19"/>
    <n v="5378"/>
    <x v="0"/>
    <x v="2"/>
  </r>
  <r>
    <x v="20"/>
    <n v="4613"/>
    <x v="0"/>
    <x v="2"/>
  </r>
  <r>
    <x v="21"/>
    <n v="7260"/>
    <x v="0"/>
    <x v="2"/>
  </r>
  <r>
    <x v="0"/>
    <n v="44079"/>
    <x v="1"/>
    <x v="2"/>
  </r>
  <r>
    <x v="1"/>
    <n v="2520"/>
    <x v="1"/>
    <x v="2"/>
  </r>
  <r>
    <x v="2"/>
    <n v="4461"/>
    <x v="1"/>
    <x v="2"/>
  </r>
  <r>
    <x v="3"/>
    <n v="7133"/>
    <x v="1"/>
    <x v="2"/>
  </r>
  <r>
    <x v="4"/>
    <n v="9873"/>
    <x v="1"/>
    <x v="2"/>
  </r>
  <r>
    <x v="5"/>
    <n v="5475"/>
    <x v="1"/>
    <x v="2"/>
  </r>
  <r>
    <x v="6"/>
    <n v="6099"/>
    <x v="1"/>
    <x v="2"/>
  </r>
  <r>
    <x v="7"/>
    <n v="5543"/>
    <x v="1"/>
    <x v="2"/>
  </r>
  <r>
    <x v="8"/>
    <n v="10540"/>
    <x v="1"/>
    <x v="2"/>
  </r>
  <r>
    <x v="9"/>
    <n v="7932"/>
    <x v="1"/>
    <x v="2"/>
  </r>
  <r>
    <x v="10"/>
    <n v="4857"/>
    <x v="1"/>
    <x v="2"/>
  </r>
  <r>
    <x v="11"/>
    <n v="13397"/>
    <x v="1"/>
    <x v="2"/>
  </r>
  <r>
    <x v="12"/>
    <n v="12432"/>
    <x v="1"/>
    <x v="2"/>
  </r>
  <r>
    <x v="13"/>
    <n v="10104"/>
    <x v="1"/>
    <x v="2"/>
  </r>
  <r>
    <x v="14"/>
    <n v="3994"/>
    <x v="1"/>
    <x v="2"/>
  </r>
  <r>
    <x v="15"/>
    <n v="12436"/>
    <x v="1"/>
    <x v="2"/>
  </r>
  <r>
    <x v="16"/>
    <n v="8087"/>
    <x v="1"/>
    <x v="2"/>
  </r>
  <r>
    <x v="17"/>
    <n v="5229"/>
    <x v="1"/>
    <x v="2"/>
  </r>
  <r>
    <x v="18"/>
    <n v="3309"/>
    <x v="1"/>
    <x v="2"/>
  </r>
  <r>
    <x v="19"/>
    <n v="5174"/>
    <x v="1"/>
    <x v="2"/>
  </r>
  <r>
    <x v="20"/>
    <n v="4623"/>
    <x v="1"/>
    <x v="2"/>
  </r>
  <r>
    <x v="21"/>
    <n v="6918"/>
    <x v="1"/>
    <x v="2"/>
  </r>
  <r>
    <x v="0"/>
    <n v="46728"/>
    <x v="0"/>
    <x v="3"/>
  </r>
  <r>
    <x v="1"/>
    <n v="2719"/>
    <x v="0"/>
    <x v="3"/>
  </r>
  <r>
    <x v="2"/>
    <n v="4781"/>
    <x v="0"/>
    <x v="3"/>
  </r>
  <r>
    <x v="3"/>
    <n v="7783"/>
    <x v="0"/>
    <x v="3"/>
  </r>
  <r>
    <x v="4"/>
    <n v="10377"/>
    <x v="0"/>
    <x v="3"/>
  </r>
  <r>
    <x v="5"/>
    <n v="5717"/>
    <x v="0"/>
    <x v="3"/>
  </r>
  <r>
    <x v="6"/>
    <n v="6687"/>
    <x v="0"/>
    <x v="3"/>
  </r>
  <r>
    <x v="7"/>
    <n v="5597"/>
    <x v="0"/>
    <x v="3"/>
  </r>
  <r>
    <x v="8"/>
    <n v="11207"/>
    <x v="0"/>
    <x v="3"/>
  </r>
  <r>
    <x v="9"/>
    <n v="8041"/>
    <x v="0"/>
    <x v="3"/>
  </r>
  <r>
    <x v="10"/>
    <n v="5065"/>
    <x v="0"/>
    <x v="3"/>
  </r>
  <r>
    <x v="11"/>
    <n v="14480"/>
    <x v="0"/>
    <x v="3"/>
  </r>
  <r>
    <x v="12"/>
    <n v="13315"/>
    <x v="0"/>
    <x v="3"/>
  </r>
  <r>
    <x v="13"/>
    <n v="11083"/>
    <x v="0"/>
    <x v="3"/>
  </r>
  <r>
    <x v="14"/>
    <n v="4077"/>
    <x v="0"/>
    <x v="3"/>
  </r>
  <r>
    <x v="15"/>
    <n v="14120"/>
    <x v="0"/>
    <x v="3"/>
  </r>
  <r>
    <x v="16"/>
    <n v="8742"/>
    <x v="0"/>
    <x v="3"/>
  </r>
  <r>
    <x v="17"/>
    <n v="5665"/>
    <x v="0"/>
    <x v="3"/>
  </r>
  <r>
    <x v="18"/>
    <n v="3528"/>
    <x v="0"/>
    <x v="3"/>
  </r>
  <r>
    <x v="19"/>
    <n v="5518"/>
    <x v="0"/>
    <x v="3"/>
  </r>
  <r>
    <x v="20"/>
    <n v="4796"/>
    <x v="0"/>
    <x v="3"/>
  </r>
  <r>
    <x v="21"/>
    <n v="7510"/>
    <x v="0"/>
    <x v="3"/>
  </r>
  <r>
    <x v="0"/>
    <n v="45890"/>
    <x v="1"/>
    <x v="3"/>
  </r>
  <r>
    <x v="1"/>
    <n v="2629"/>
    <x v="1"/>
    <x v="3"/>
  </r>
  <r>
    <x v="2"/>
    <n v="4581"/>
    <x v="1"/>
    <x v="3"/>
  </r>
  <r>
    <x v="3"/>
    <n v="7654"/>
    <x v="1"/>
    <x v="3"/>
  </r>
  <r>
    <x v="4"/>
    <n v="10021"/>
    <x v="1"/>
    <x v="3"/>
  </r>
  <r>
    <x v="5"/>
    <n v="5662"/>
    <x v="1"/>
    <x v="3"/>
  </r>
  <r>
    <x v="6"/>
    <n v="6449"/>
    <x v="1"/>
    <x v="3"/>
  </r>
  <r>
    <x v="7"/>
    <n v="5552"/>
    <x v="1"/>
    <x v="3"/>
  </r>
  <r>
    <x v="8"/>
    <n v="10878"/>
    <x v="1"/>
    <x v="3"/>
  </r>
  <r>
    <x v="9"/>
    <n v="7802"/>
    <x v="1"/>
    <x v="3"/>
  </r>
  <r>
    <x v="10"/>
    <n v="4846"/>
    <x v="1"/>
    <x v="3"/>
  </r>
  <r>
    <x v="11"/>
    <n v="14099"/>
    <x v="1"/>
    <x v="3"/>
  </r>
  <r>
    <x v="12"/>
    <n v="12990"/>
    <x v="1"/>
    <x v="3"/>
  </r>
  <r>
    <x v="13"/>
    <n v="10731"/>
    <x v="1"/>
    <x v="3"/>
  </r>
  <r>
    <x v="14"/>
    <n v="3966"/>
    <x v="1"/>
    <x v="3"/>
  </r>
  <r>
    <x v="15"/>
    <n v="13491"/>
    <x v="1"/>
    <x v="3"/>
  </r>
  <r>
    <x v="16"/>
    <n v="8511"/>
    <x v="1"/>
    <x v="3"/>
  </r>
  <r>
    <x v="17"/>
    <n v="5383"/>
    <x v="1"/>
    <x v="3"/>
  </r>
  <r>
    <x v="18"/>
    <n v="3303"/>
    <x v="1"/>
    <x v="3"/>
  </r>
  <r>
    <x v="19"/>
    <n v="5441"/>
    <x v="1"/>
    <x v="3"/>
  </r>
  <r>
    <x v="20"/>
    <n v="4622"/>
    <x v="1"/>
    <x v="3"/>
  </r>
  <r>
    <x v="21"/>
    <n v="7080"/>
    <x v="1"/>
    <x v="3"/>
  </r>
  <r>
    <x v="0"/>
    <n v="47418"/>
    <x v="0"/>
    <x v="4"/>
  </r>
  <r>
    <x v="1"/>
    <n v="2896"/>
    <x v="0"/>
    <x v="4"/>
  </r>
  <r>
    <x v="2"/>
    <n v="4973"/>
    <x v="0"/>
    <x v="4"/>
  </r>
  <r>
    <x v="3"/>
    <n v="8053"/>
    <x v="0"/>
    <x v="4"/>
  </r>
  <r>
    <x v="4"/>
    <n v="11108"/>
    <x v="0"/>
    <x v="4"/>
  </r>
  <r>
    <x v="5"/>
    <n v="5765"/>
    <x v="0"/>
    <x v="4"/>
  </r>
  <r>
    <x v="6"/>
    <n v="6475"/>
    <x v="0"/>
    <x v="4"/>
  </r>
  <r>
    <x v="7"/>
    <n v="5592"/>
    <x v="0"/>
    <x v="4"/>
  </r>
  <r>
    <x v="8"/>
    <n v="11346"/>
    <x v="0"/>
    <x v="4"/>
  </r>
  <r>
    <x v="9"/>
    <n v="8530"/>
    <x v="0"/>
    <x v="4"/>
  </r>
  <r>
    <x v="10"/>
    <n v="5180"/>
    <x v="0"/>
    <x v="4"/>
  </r>
  <r>
    <x v="11"/>
    <n v="14779"/>
    <x v="0"/>
    <x v="4"/>
  </r>
  <r>
    <x v="12"/>
    <n v="13305"/>
    <x v="0"/>
    <x v="4"/>
  </r>
  <r>
    <x v="13"/>
    <n v="11667"/>
    <x v="0"/>
    <x v="4"/>
  </r>
  <r>
    <x v="14"/>
    <n v="4110"/>
    <x v="0"/>
    <x v="4"/>
  </r>
  <r>
    <x v="15"/>
    <n v="13966"/>
    <x v="0"/>
    <x v="4"/>
  </r>
  <r>
    <x v="16"/>
    <n v="9305"/>
    <x v="0"/>
    <x v="4"/>
  </r>
  <r>
    <x v="17"/>
    <n v="5862"/>
    <x v="0"/>
    <x v="4"/>
  </r>
  <r>
    <x v="18"/>
    <n v="3774"/>
    <x v="0"/>
    <x v="4"/>
  </r>
  <r>
    <x v="19"/>
    <n v="5832"/>
    <x v="0"/>
    <x v="4"/>
  </r>
  <r>
    <x v="20"/>
    <n v="4927"/>
    <x v="0"/>
    <x v="4"/>
  </r>
  <r>
    <x v="21"/>
    <n v="7575"/>
    <x v="0"/>
    <x v="4"/>
  </r>
  <r>
    <x v="0"/>
    <n v="46068"/>
    <x v="1"/>
    <x v="4"/>
  </r>
  <r>
    <x v="1"/>
    <n v="2730"/>
    <x v="1"/>
    <x v="4"/>
  </r>
  <r>
    <x v="2"/>
    <n v="4602"/>
    <x v="1"/>
    <x v="4"/>
  </r>
  <r>
    <x v="3"/>
    <n v="7815"/>
    <x v="1"/>
    <x v="4"/>
  </r>
  <r>
    <x v="4"/>
    <n v="10584"/>
    <x v="1"/>
    <x v="4"/>
  </r>
  <r>
    <x v="5"/>
    <n v="5600"/>
    <x v="1"/>
    <x v="4"/>
  </r>
  <r>
    <x v="6"/>
    <n v="6333"/>
    <x v="1"/>
    <x v="4"/>
  </r>
  <r>
    <x v="7"/>
    <n v="5296"/>
    <x v="1"/>
    <x v="4"/>
  </r>
  <r>
    <x v="8"/>
    <n v="11028"/>
    <x v="1"/>
    <x v="4"/>
  </r>
  <r>
    <x v="9"/>
    <n v="8095"/>
    <x v="1"/>
    <x v="4"/>
  </r>
  <r>
    <x v="10"/>
    <n v="4958"/>
    <x v="1"/>
    <x v="4"/>
  </r>
  <r>
    <x v="11"/>
    <n v="14346"/>
    <x v="1"/>
    <x v="4"/>
  </r>
  <r>
    <x v="12"/>
    <n v="13047"/>
    <x v="1"/>
    <x v="4"/>
  </r>
  <r>
    <x v="13"/>
    <n v="11166"/>
    <x v="1"/>
    <x v="4"/>
  </r>
  <r>
    <x v="14"/>
    <n v="3997"/>
    <x v="1"/>
    <x v="4"/>
  </r>
  <r>
    <x v="15"/>
    <n v="13381"/>
    <x v="1"/>
    <x v="4"/>
  </r>
  <r>
    <x v="16"/>
    <n v="8870"/>
    <x v="1"/>
    <x v="4"/>
  </r>
  <r>
    <x v="17"/>
    <n v="5549"/>
    <x v="1"/>
    <x v="4"/>
  </r>
  <r>
    <x v="18"/>
    <n v="3473"/>
    <x v="1"/>
    <x v="4"/>
  </r>
  <r>
    <x v="19"/>
    <n v="5588"/>
    <x v="1"/>
    <x v="4"/>
  </r>
  <r>
    <x v="20"/>
    <n v="4804"/>
    <x v="1"/>
    <x v="4"/>
  </r>
  <r>
    <x v="21"/>
    <n v="7203"/>
    <x v="1"/>
    <x v="4"/>
  </r>
  <r>
    <x v="0"/>
    <n v="46641"/>
    <x v="0"/>
    <x v="5"/>
  </r>
  <r>
    <x v="1"/>
    <n v="2836"/>
    <x v="0"/>
    <x v="5"/>
  </r>
  <r>
    <x v="2"/>
    <n v="4885"/>
    <x v="0"/>
    <x v="5"/>
  </r>
  <r>
    <x v="3"/>
    <n v="8053"/>
    <x v="0"/>
    <x v="5"/>
  </r>
  <r>
    <x v="4"/>
    <n v="10786"/>
    <x v="0"/>
    <x v="5"/>
  </r>
  <r>
    <x v="5"/>
    <n v="5631"/>
    <x v="0"/>
    <x v="5"/>
  </r>
  <r>
    <x v="6"/>
    <n v="6505"/>
    <x v="0"/>
    <x v="5"/>
  </r>
  <r>
    <x v="7"/>
    <n v="5383"/>
    <x v="0"/>
    <x v="5"/>
  </r>
  <r>
    <x v="8"/>
    <n v="11499"/>
    <x v="0"/>
    <x v="5"/>
  </r>
  <r>
    <x v="9"/>
    <n v="8463"/>
    <x v="0"/>
    <x v="5"/>
  </r>
  <r>
    <x v="10"/>
    <n v="5019"/>
    <x v="0"/>
    <x v="5"/>
  </r>
  <r>
    <x v="11"/>
    <n v="14455"/>
    <x v="0"/>
    <x v="5"/>
  </r>
  <r>
    <x v="12"/>
    <n v="13545"/>
    <x v="0"/>
    <x v="5"/>
  </r>
  <r>
    <x v="13"/>
    <n v="11306"/>
    <x v="0"/>
    <x v="5"/>
  </r>
  <r>
    <x v="14"/>
    <n v="4210"/>
    <x v="0"/>
    <x v="5"/>
  </r>
  <r>
    <x v="15"/>
    <n v="13760"/>
    <x v="0"/>
    <x v="5"/>
  </r>
  <r>
    <x v="16"/>
    <n v="9217"/>
    <x v="0"/>
    <x v="5"/>
  </r>
  <r>
    <x v="17"/>
    <n v="5771"/>
    <x v="0"/>
    <x v="5"/>
  </r>
  <r>
    <x v="18"/>
    <n v="3663"/>
    <x v="0"/>
    <x v="5"/>
  </r>
  <r>
    <x v="19"/>
    <n v="5659"/>
    <x v="0"/>
    <x v="5"/>
  </r>
  <r>
    <x v="20"/>
    <n v="4741"/>
    <x v="0"/>
    <x v="5"/>
  </r>
  <r>
    <x v="21"/>
    <n v="7623"/>
    <x v="0"/>
    <x v="5"/>
  </r>
  <r>
    <x v="0"/>
    <n v="45456"/>
    <x v="1"/>
    <x v="5"/>
  </r>
  <r>
    <x v="1"/>
    <n v="2713"/>
    <x v="1"/>
    <x v="5"/>
  </r>
  <r>
    <x v="2"/>
    <n v="4586"/>
    <x v="1"/>
    <x v="5"/>
  </r>
  <r>
    <x v="3"/>
    <n v="7901"/>
    <x v="1"/>
    <x v="5"/>
  </r>
  <r>
    <x v="4"/>
    <n v="10410"/>
    <x v="1"/>
    <x v="5"/>
  </r>
  <r>
    <x v="5"/>
    <n v="5360"/>
    <x v="1"/>
    <x v="5"/>
  </r>
  <r>
    <x v="6"/>
    <n v="6210"/>
    <x v="1"/>
    <x v="5"/>
  </r>
  <r>
    <x v="7"/>
    <n v="5502"/>
    <x v="1"/>
    <x v="5"/>
  </r>
  <r>
    <x v="8"/>
    <n v="11141"/>
    <x v="1"/>
    <x v="5"/>
  </r>
  <r>
    <x v="9"/>
    <n v="7881"/>
    <x v="1"/>
    <x v="5"/>
  </r>
  <r>
    <x v="10"/>
    <n v="5033"/>
    <x v="1"/>
    <x v="5"/>
  </r>
  <r>
    <x v="11"/>
    <n v="14406"/>
    <x v="1"/>
    <x v="5"/>
  </r>
  <r>
    <x v="12"/>
    <n v="13163"/>
    <x v="1"/>
    <x v="5"/>
  </r>
  <r>
    <x v="13"/>
    <n v="10890"/>
    <x v="1"/>
    <x v="5"/>
  </r>
  <r>
    <x v="14"/>
    <n v="3987"/>
    <x v="1"/>
    <x v="5"/>
  </r>
  <r>
    <x v="15"/>
    <n v="12920"/>
    <x v="1"/>
    <x v="5"/>
  </r>
  <r>
    <x v="16"/>
    <n v="8779"/>
    <x v="1"/>
    <x v="5"/>
  </r>
  <r>
    <x v="17"/>
    <n v="5558"/>
    <x v="1"/>
    <x v="5"/>
  </r>
  <r>
    <x v="18"/>
    <n v="3469"/>
    <x v="1"/>
    <x v="5"/>
  </r>
  <r>
    <x v="19"/>
    <n v="5356"/>
    <x v="1"/>
    <x v="5"/>
  </r>
  <r>
    <x v="20"/>
    <n v="4560"/>
    <x v="1"/>
    <x v="5"/>
  </r>
  <r>
    <x v="21"/>
    <n v="7173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4">
  <r>
    <x v="0"/>
    <n v="71217"/>
    <x v="0"/>
    <x v="0"/>
  </r>
  <r>
    <x v="1"/>
    <n v="4211"/>
    <x v="0"/>
    <x v="0"/>
  </r>
  <r>
    <x v="2"/>
    <n v="8339"/>
    <x v="0"/>
    <x v="0"/>
  </r>
  <r>
    <x v="3"/>
    <n v="19652"/>
    <x v="0"/>
    <x v="0"/>
  </r>
  <r>
    <x v="4"/>
    <n v="17625"/>
    <x v="0"/>
    <x v="0"/>
  </r>
  <r>
    <x v="5"/>
    <n v="9731"/>
    <x v="0"/>
    <x v="0"/>
  </r>
  <r>
    <x v="6"/>
    <n v="14700"/>
    <x v="0"/>
    <x v="0"/>
  </r>
  <r>
    <x v="7"/>
    <n v="16551"/>
    <x v="0"/>
    <x v="0"/>
  </r>
  <r>
    <x v="8"/>
    <n v="22694"/>
    <x v="0"/>
    <x v="0"/>
  </r>
  <r>
    <x v="9"/>
    <n v="14896"/>
    <x v="0"/>
    <x v="0"/>
  </r>
  <r>
    <x v="10"/>
    <n v="8334"/>
    <x v="0"/>
    <x v="0"/>
  </r>
  <r>
    <x v="11"/>
    <n v="30072"/>
    <x v="0"/>
    <x v="0"/>
  </r>
  <r>
    <x v="12"/>
    <n v="35726"/>
    <x v="0"/>
    <x v="0"/>
  </r>
  <r>
    <x v="13"/>
    <n v="33463"/>
    <x v="0"/>
    <x v="0"/>
  </r>
  <r>
    <x v="14"/>
    <n v="8315"/>
    <x v="0"/>
    <x v="0"/>
  </r>
  <r>
    <x v="15"/>
    <n v="35875"/>
    <x v="0"/>
    <x v="0"/>
  </r>
  <r>
    <x v="16"/>
    <n v="21011"/>
    <x v="0"/>
    <x v="0"/>
  </r>
  <r>
    <x v="17"/>
    <n v="11941"/>
    <x v="0"/>
    <x v="0"/>
  </r>
  <r>
    <x v="18"/>
    <n v="5746"/>
    <x v="0"/>
    <x v="0"/>
  </r>
  <r>
    <x v="19"/>
    <n v="11337"/>
    <x v="0"/>
    <x v="0"/>
  </r>
  <r>
    <x v="20"/>
    <n v="10498"/>
    <x v="0"/>
    <x v="0"/>
  </r>
  <r>
    <x v="21"/>
    <n v="13393"/>
    <x v="0"/>
    <x v="0"/>
  </r>
  <r>
    <x v="0"/>
    <n v="68510"/>
    <x v="1"/>
    <x v="0"/>
  </r>
  <r>
    <x v="1"/>
    <n v="4152"/>
    <x v="1"/>
    <x v="0"/>
  </r>
  <r>
    <x v="2"/>
    <n v="8050"/>
    <x v="1"/>
    <x v="0"/>
  </r>
  <r>
    <x v="3"/>
    <n v="19032"/>
    <x v="1"/>
    <x v="0"/>
  </r>
  <r>
    <x v="4"/>
    <n v="17029"/>
    <x v="1"/>
    <x v="0"/>
  </r>
  <r>
    <x v="5"/>
    <n v="9566"/>
    <x v="1"/>
    <x v="0"/>
  </r>
  <r>
    <x v="6"/>
    <n v="14218"/>
    <x v="1"/>
    <x v="0"/>
  </r>
  <r>
    <x v="7"/>
    <n v="16049"/>
    <x v="1"/>
    <x v="0"/>
  </r>
  <r>
    <x v="8"/>
    <n v="21997"/>
    <x v="1"/>
    <x v="0"/>
  </r>
  <r>
    <x v="9"/>
    <n v="14517"/>
    <x v="1"/>
    <x v="0"/>
  </r>
  <r>
    <x v="10"/>
    <n v="8140"/>
    <x v="1"/>
    <x v="0"/>
  </r>
  <r>
    <x v="11"/>
    <n v="29265"/>
    <x v="1"/>
    <x v="0"/>
  </r>
  <r>
    <x v="12"/>
    <n v="34975"/>
    <x v="1"/>
    <x v="0"/>
  </r>
  <r>
    <x v="13"/>
    <n v="32430"/>
    <x v="1"/>
    <x v="0"/>
  </r>
  <r>
    <x v="14"/>
    <n v="8105"/>
    <x v="1"/>
    <x v="0"/>
  </r>
  <r>
    <x v="15"/>
    <n v="34727"/>
    <x v="1"/>
    <x v="0"/>
  </r>
  <r>
    <x v="16"/>
    <n v="20003"/>
    <x v="1"/>
    <x v="0"/>
  </r>
  <r>
    <x v="17"/>
    <n v="11606"/>
    <x v="1"/>
    <x v="0"/>
  </r>
  <r>
    <x v="18"/>
    <n v="5707"/>
    <x v="1"/>
    <x v="0"/>
  </r>
  <r>
    <x v="19"/>
    <n v="11105"/>
    <x v="1"/>
    <x v="0"/>
  </r>
  <r>
    <x v="20"/>
    <n v="10226"/>
    <x v="1"/>
    <x v="0"/>
  </r>
  <r>
    <x v="21"/>
    <n v="13202"/>
    <x v="1"/>
    <x v="0"/>
  </r>
  <r>
    <x v="0"/>
    <n v="71046"/>
    <x v="0"/>
    <x v="1"/>
  </r>
  <r>
    <x v="1"/>
    <n v="4213"/>
    <x v="0"/>
    <x v="1"/>
  </r>
  <r>
    <x v="2"/>
    <n v="8409"/>
    <x v="0"/>
    <x v="1"/>
  </r>
  <r>
    <x v="3"/>
    <n v="20202"/>
    <x v="0"/>
    <x v="1"/>
  </r>
  <r>
    <x v="4"/>
    <n v="17689"/>
    <x v="0"/>
    <x v="1"/>
  </r>
  <r>
    <x v="5"/>
    <n v="9763"/>
    <x v="0"/>
    <x v="1"/>
  </r>
  <r>
    <x v="6"/>
    <n v="15349"/>
    <x v="0"/>
    <x v="1"/>
  </r>
  <r>
    <x v="7"/>
    <n v="17406"/>
    <x v="0"/>
    <x v="1"/>
  </r>
  <r>
    <x v="8"/>
    <n v="23196"/>
    <x v="0"/>
    <x v="1"/>
  </r>
  <r>
    <x v="9"/>
    <n v="15077"/>
    <x v="0"/>
    <x v="1"/>
  </r>
  <r>
    <x v="10"/>
    <n v="8423"/>
    <x v="0"/>
    <x v="1"/>
  </r>
  <r>
    <x v="11"/>
    <n v="30406"/>
    <x v="0"/>
    <x v="1"/>
  </r>
  <r>
    <x v="12"/>
    <n v="36438"/>
    <x v="0"/>
    <x v="1"/>
  </r>
  <r>
    <x v="13"/>
    <n v="34632"/>
    <x v="0"/>
    <x v="1"/>
  </r>
  <r>
    <x v="14"/>
    <n v="8416"/>
    <x v="0"/>
    <x v="1"/>
  </r>
  <r>
    <x v="15"/>
    <n v="36375"/>
    <x v="0"/>
    <x v="1"/>
  </r>
  <r>
    <x v="16"/>
    <n v="21939"/>
    <x v="0"/>
    <x v="1"/>
  </r>
  <r>
    <x v="17"/>
    <n v="12029"/>
    <x v="0"/>
    <x v="1"/>
  </r>
  <r>
    <x v="18"/>
    <n v="5657"/>
    <x v="0"/>
    <x v="1"/>
  </r>
  <r>
    <x v="19"/>
    <n v="11459"/>
    <x v="0"/>
    <x v="1"/>
  </r>
  <r>
    <x v="20"/>
    <n v="10771"/>
    <x v="0"/>
    <x v="1"/>
  </r>
  <r>
    <x v="21"/>
    <n v="13522"/>
    <x v="0"/>
    <x v="1"/>
  </r>
  <r>
    <x v="0"/>
    <n v="68385"/>
    <x v="1"/>
    <x v="1"/>
  </r>
  <r>
    <x v="1"/>
    <n v="4168"/>
    <x v="1"/>
    <x v="1"/>
  </r>
  <r>
    <x v="2"/>
    <n v="8098"/>
    <x v="1"/>
    <x v="1"/>
  </r>
  <r>
    <x v="3"/>
    <n v="19509"/>
    <x v="1"/>
    <x v="1"/>
  </r>
  <r>
    <x v="4"/>
    <n v="17131"/>
    <x v="1"/>
    <x v="1"/>
  </r>
  <r>
    <x v="5"/>
    <n v="9620"/>
    <x v="1"/>
    <x v="1"/>
  </r>
  <r>
    <x v="6"/>
    <n v="14812"/>
    <x v="1"/>
    <x v="1"/>
  </r>
  <r>
    <x v="7"/>
    <n v="16834"/>
    <x v="1"/>
    <x v="1"/>
  </r>
  <r>
    <x v="8"/>
    <n v="22406"/>
    <x v="1"/>
    <x v="1"/>
  </r>
  <r>
    <x v="9"/>
    <n v="14692"/>
    <x v="1"/>
    <x v="1"/>
  </r>
  <r>
    <x v="10"/>
    <n v="8248"/>
    <x v="1"/>
    <x v="1"/>
  </r>
  <r>
    <x v="11"/>
    <n v="29541"/>
    <x v="1"/>
    <x v="1"/>
  </r>
  <r>
    <x v="12"/>
    <n v="35485"/>
    <x v="1"/>
    <x v="1"/>
  </r>
  <r>
    <x v="13"/>
    <n v="33479"/>
    <x v="1"/>
    <x v="1"/>
  </r>
  <r>
    <x v="14"/>
    <n v="8162"/>
    <x v="1"/>
    <x v="1"/>
  </r>
  <r>
    <x v="15"/>
    <n v="35196"/>
    <x v="1"/>
    <x v="1"/>
  </r>
  <r>
    <x v="16"/>
    <n v="20915"/>
    <x v="1"/>
    <x v="1"/>
  </r>
  <r>
    <x v="17"/>
    <n v="11698"/>
    <x v="1"/>
    <x v="1"/>
  </r>
  <r>
    <x v="18"/>
    <n v="5638"/>
    <x v="1"/>
    <x v="1"/>
  </r>
  <r>
    <x v="19"/>
    <n v="11233"/>
    <x v="1"/>
    <x v="1"/>
  </r>
  <r>
    <x v="20"/>
    <n v="10452"/>
    <x v="1"/>
    <x v="1"/>
  </r>
  <r>
    <x v="21"/>
    <n v="13453"/>
    <x v="1"/>
    <x v="1"/>
  </r>
  <r>
    <x v="0"/>
    <n v="70884"/>
    <x v="0"/>
    <x v="2"/>
  </r>
  <r>
    <x v="1"/>
    <n v="4215"/>
    <x v="0"/>
    <x v="2"/>
  </r>
  <r>
    <x v="2"/>
    <n v="8481"/>
    <x v="0"/>
    <x v="2"/>
  </r>
  <r>
    <x v="3"/>
    <n v="20771"/>
    <x v="0"/>
    <x v="2"/>
  </r>
  <r>
    <x v="4"/>
    <n v="17753"/>
    <x v="0"/>
    <x v="2"/>
  </r>
  <r>
    <x v="5"/>
    <n v="9795"/>
    <x v="0"/>
    <x v="2"/>
  </r>
  <r>
    <x v="6"/>
    <n v="16026"/>
    <x v="0"/>
    <x v="2"/>
  </r>
  <r>
    <x v="7"/>
    <n v="18307"/>
    <x v="0"/>
    <x v="2"/>
  </r>
  <r>
    <x v="8"/>
    <n v="23709"/>
    <x v="0"/>
    <x v="2"/>
  </r>
  <r>
    <x v="9"/>
    <n v="15261"/>
    <x v="0"/>
    <x v="2"/>
  </r>
  <r>
    <x v="10"/>
    <n v="8512"/>
    <x v="0"/>
    <x v="2"/>
  </r>
  <r>
    <x v="11"/>
    <n v="30746"/>
    <x v="0"/>
    <x v="2"/>
  </r>
  <r>
    <x v="12"/>
    <n v="37166"/>
    <x v="0"/>
    <x v="2"/>
  </r>
  <r>
    <x v="13"/>
    <n v="35847"/>
    <x v="0"/>
    <x v="2"/>
  </r>
  <r>
    <x v="14"/>
    <n v="8517"/>
    <x v="0"/>
    <x v="2"/>
  </r>
  <r>
    <x v="15"/>
    <n v="36882"/>
    <x v="0"/>
    <x v="2"/>
  </r>
  <r>
    <x v="16"/>
    <n v="22909"/>
    <x v="0"/>
    <x v="2"/>
  </r>
  <r>
    <x v="17"/>
    <n v="12119"/>
    <x v="0"/>
    <x v="2"/>
  </r>
  <r>
    <x v="18"/>
    <n v="5568"/>
    <x v="0"/>
    <x v="2"/>
  </r>
  <r>
    <x v="19"/>
    <n v="11585"/>
    <x v="0"/>
    <x v="2"/>
  </r>
  <r>
    <x v="20"/>
    <n v="11054"/>
    <x v="0"/>
    <x v="2"/>
  </r>
  <r>
    <x v="21"/>
    <n v="13653"/>
    <x v="0"/>
    <x v="2"/>
  </r>
  <r>
    <x v="0"/>
    <n v="68268"/>
    <x v="1"/>
    <x v="2"/>
  </r>
  <r>
    <x v="1"/>
    <n v="4184"/>
    <x v="1"/>
    <x v="2"/>
  </r>
  <r>
    <x v="2"/>
    <n v="8146"/>
    <x v="1"/>
    <x v="2"/>
  </r>
  <r>
    <x v="3"/>
    <n v="20000"/>
    <x v="1"/>
    <x v="2"/>
  </r>
  <r>
    <x v="4"/>
    <n v="17233"/>
    <x v="1"/>
    <x v="2"/>
  </r>
  <r>
    <x v="5"/>
    <n v="9674"/>
    <x v="1"/>
    <x v="2"/>
  </r>
  <r>
    <x v="6"/>
    <n v="15434"/>
    <x v="1"/>
    <x v="2"/>
  </r>
  <r>
    <x v="7"/>
    <n v="17658"/>
    <x v="1"/>
    <x v="2"/>
  </r>
  <r>
    <x v="8"/>
    <n v="22823"/>
    <x v="1"/>
    <x v="2"/>
  </r>
  <r>
    <x v="9"/>
    <n v="14870"/>
    <x v="1"/>
    <x v="2"/>
  </r>
  <r>
    <x v="10"/>
    <n v="8356"/>
    <x v="1"/>
    <x v="2"/>
  </r>
  <r>
    <x v="11"/>
    <n v="29817"/>
    <x v="1"/>
    <x v="2"/>
  </r>
  <r>
    <x v="12"/>
    <n v="36004"/>
    <x v="1"/>
    <x v="2"/>
  </r>
  <r>
    <x v="13"/>
    <n v="34560"/>
    <x v="1"/>
    <x v="2"/>
  </r>
  <r>
    <x v="14"/>
    <n v="8219"/>
    <x v="1"/>
    <x v="2"/>
  </r>
  <r>
    <x v="15"/>
    <n v="35671"/>
    <x v="1"/>
    <x v="2"/>
  </r>
  <r>
    <x v="16"/>
    <n v="21866"/>
    <x v="1"/>
    <x v="2"/>
  </r>
  <r>
    <x v="17"/>
    <n v="11792"/>
    <x v="1"/>
    <x v="2"/>
  </r>
  <r>
    <x v="18"/>
    <n v="5569"/>
    <x v="1"/>
    <x v="2"/>
  </r>
  <r>
    <x v="19"/>
    <n v="11362"/>
    <x v="1"/>
    <x v="2"/>
  </r>
  <r>
    <x v="20"/>
    <n v="10681"/>
    <x v="1"/>
    <x v="2"/>
  </r>
  <r>
    <x v="21"/>
    <n v="13710"/>
    <x v="1"/>
    <x v="2"/>
  </r>
  <r>
    <x v="0"/>
    <n v="68878"/>
    <x v="0"/>
    <x v="3"/>
  </r>
  <r>
    <x v="1"/>
    <n v="4290"/>
    <x v="0"/>
    <x v="3"/>
  </r>
  <r>
    <x v="2"/>
    <n v="8956"/>
    <x v="0"/>
    <x v="3"/>
  </r>
  <r>
    <x v="3"/>
    <n v="20718"/>
    <x v="0"/>
    <x v="3"/>
  </r>
  <r>
    <x v="4"/>
    <n v="18492"/>
    <x v="0"/>
    <x v="3"/>
  </r>
  <r>
    <x v="5"/>
    <n v="10062"/>
    <x v="0"/>
    <x v="3"/>
  </r>
  <r>
    <x v="6"/>
    <n v="15269"/>
    <x v="0"/>
    <x v="3"/>
  </r>
  <r>
    <x v="7"/>
    <n v="17392"/>
    <x v="0"/>
    <x v="3"/>
  </r>
  <r>
    <x v="8"/>
    <n v="23567"/>
    <x v="0"/>
    <x v="3"/>
  </r>
  <r>
    <x v="9"/>
    <n v="15760"/>
    <x v="0"/>
    <x v="3"/>
  </r>
  <r>
    <x v="10"/>
    <n v="8903"/>
    <x v="0"/>
    <x v="3"/>
  </r>
  <r>
    <x v="11"/>
    <n v="30715"/>
    <x v="0"/>
    <x v="3"/>
  </r>
  <r>
    <x v="12"/>
    <n v="37181"/>
    <x v="0"/>
    <x v="3"/>
  </r>
  <r>
    <x v="13"/>
    <n v="35947"/>
    <x v="0"/>
    <x v="3"/>
  </r>
  <r>
    <x v="14"/>
    <n v="8810"/>
    <x v="0"/>
    <x v="3"/>
  </r>
  <r>
    <x v="15"/>
    <n v="37518"/>
    <x v="0"/>
    <x v="3"/>
  </r>
  <r>
    <x v="16"/>
    <n v="23214"/>
    <x v="0"/>
    <x v="3"/>
  </r>
  <r>
    <x v="17"/>
    <n v="12569"/>
    <x v="0"/>
    <x v="3"/>
  </r>
  <r>
    <x v="18"/>
    <n v="5878"/>
    <x v="0"/>
    <x v="3"/>
  </r>
  <r>
    <x v="19"/>
    <n v="11639"/>
    <x v="0"/>
    <x v="3"/>
  </r>
  <r>
    <x v="20"/>
    <n v="10991"/>
    <x v="0"/>
    <x v="3"/>
  </r>
  <r>
    <x v="21"/>
    <n v="13571"/>
    <x v="0"/>
    <x v="3"/>
  </r>
  <r>
    <x v="0"/>
    <n v="66269"/>
    <x v="1"/>
    <x v="3"/>
  </r>
  <r>
    <x v="1"/>
    <n v="4167"/>
    <x v="1"/>
    <x v="3"/>
  </r>
  <r>
    <x v="2"/>
    <n v="8149"/>
    <x v="1"/>
    <x v="3"/>
  </r>
  <r>
    <x v="3"/>
    <n v="19837"/>
    <x v="1"/>
    <x v="3"/>
  </r>
  <r>
    <x v="4"/>
    <n v="17809"/>
    <x v="1"/>
    <x v="3"/>
  </r>
  <r>
    <x v="5"/>
    <n v="9779"/>
    <x v="1"/>
    <x v="3"/>
  </r>
  <r>
    <x v="6"/>
    <n v="14734"/>
    <x v="1"/>
    <x v="3"/>
  </r>
  <r>
    <x v="7"/>
    <n v="16799"/>
    <x v="1"/>
    <x v="3"/>
  </r>
  <r>
    <x v="8"/>
    <n v="22779"/>
    <x v="1"/>
    <x v="3"/>
  </r>
  <r>
    <x v="9"/>
    <n v="15244"/>
    <x v="1"/>
    <x v="3"/>
  </r>
  <r>
    <x v="10"/>
    <n v="8609"/>
    <x v="1"/>
    <x v="3"/>
  </r>
  <r>
    <x v="11"/>
    <n v="29702"/>
    <x v="1"/>
    <x v="3"/>
  </r>
  <r>
    <x v="12"/>
    <n v="35307"/>
    <x v="1"/>
    <x v="3"/>
  </r>
  <r>
    <x v="13"/>
    <n v="34707"/>
    <x v="1"/>
    <x v="3"/>
  </r>
  <r>
    <x v="14"/>
    <n v="8534"/>
    <x v="1"/>
    <x v="3"/>
  </r>
  <r>
    <x v="15"/>
    <n v="36194"/>
    <x v="1"/>
    <x v="3"/>
  </r>
  <r>
    <x v="16"/>
    <n v="22304"/>
    <x v="1"/>
    <x v="3"/>
  </r>
  <r>
    <x v="17"/>
    <n v="12138"/>
    <x v="1"/>
    <x v="3"/>
  </r>
  <r>
    <x v="18"/>
    <n v="5717"/>
    <x v="1"/>
    <x v="3"/>
  </r>
  <r>
    <x v="19"/>
    <n v="11287"/>
    <x v="1"/>
    <x v="3"/>
  </r>
  <r>
    <x v="20"/>
    <n v="10637"/>
    <x v="1"/>
    <x v="3"/>
  </r>
  <r>
    <x v="21"/>
    <n v="13208"/>
    <x v="1"/>
    <x v="3"/>
  </r>
  <r>
    <x v="0"/>
    <n v="68659"/>
    <x v="0"/>
    <x v="4"/>
  </r>
  <r>
    <x v="1"/>
    <n v="4334"/>
    <x v="0"/>
    <x v="4"/>
  </r>
  <r>
    <x v="2"/>
    <n v="8519"/>
    <x v="0"/>
    <x v="4"/>
  </r>
  <r>
    <x v="3"/>
    <n v="20792"/>
    <x v="0"/>
    <x v="4"/>
  </r>
  <r>
    <x v="4"/>
    <n v="18759"/>
    <x v="0"/>
    <x v="4"/>
  </r>
  <r>
    <x v="5"/>
    <n v="10203"/>
    <x v="0"/>
    <x v="4"/>
  </r>
  <r>
    <x v="6"/>
    <n v="15383"/>
    <x v="0"/>
    <x v="4"/>
  </r>
  <r>
    <x v="7"/>
    <n v="17513"/>
    <x v="0"/>
    <x v="4"/>
  </r>
  <r>
    <x v="8"/>
    <n v="23777"/>
    <x v="0"/>
    <x v="4"/>
  </r>
  <r>
    <x v="9"/>
    <n v="16035"/>
    <x v="0"/>
    <x v="4"/>
  </r>
  <r>
    <x v="10"/>
    <n v="9059"/>
    <x v="0"/>
    <x v="4"/>
  </r>
  <r>
    <x v="11"/>
    <n v="31059"/>
    <x v="0"/>
    <x v="4"/>
  </r>
  <r>
    <x v="12"/>
    <n v="37690"/>
    <x v="0"/>
    <x v="4"/>
  </r>
  <r>
    <x v="13"/>
    <n v="36608"/>
    <x v="0"/>
    <x v="4"/>
  </r>
  <r>
    <x v="14"/>
    <n v="8973"/>
    <x v="0"/>
    <x v="4"/>
  </r>
  <r>
    <x v="15"/>
    <n v="38265"/>
    <x v="0"/>
    <x v="4"/>
  </r>
  <r>
    <x v="16"/>
    <n v="23754"/>
    <x v="0"/>
    <x v="4"/>
  </r>
  <r>
    <x v="17"/>
    <n v="12778"/>
    <x v="0"/>
    <x v="4"/>
  </r>
  <r>
    <x v="18"/>
    <n v="5964"/>
    <x v="0"/>
    <x v="4"/>
  </r>
  <r>
    <x v="19"/>
    <n v="11766"/>
    <x v="0"/>
    <x v="4"/>
  </r>
  <r>
    <x v="20"/>
    <n v="11131"/>
    <x v="0"/>
    <x v="4"/>
  </r>
  <r>
    <x v="21"/>
    <n v="13647"/>
    <x v="0"/>
    <x v="4"/>
  </r>
  <r>
    <x v="0"/>
    <n v="66052"/>
    <x v="1"/>
    <x v="4"/>
  </r>
  <r>
    <x v="1"/>
    <n v="4197"/>
    <x v="1"/>
    <x v="4"/>
  </r>
  <r>
    <x v="2"/>
    <n v="8219"/>
    <x v="1"/>
    <x v="4"/>
  </r>
  <r>
    <x v="3"/>
    <n v="20075"/>
    <x v="1"/>
    <x v="4"/>
  </r>
  <r>
    <x v="4"/>
    <n v="18049"/>
    <x v="1"/>
    <x v="4"/>
  </r>
  <r>
    <x v="5"/>
    <n v="9894"/>
    <x v="1"/>
    <x v="4"/>
  </r>
  <r>
    <x v="6"/>
    <n v="14843"/>
    <x v="1"/>
    <x v="4"/>
  </r>
  <r>
    <x v="7"/>
    <n v="16915"/>
    <x v="1"/>
    <x v="4"/>
  </r>
  <r>
    <x v="8"/>
    <n v="22988"/>
    <x v="1"/>
    <x v="4"/>
  </r>
  <r>
    <x v="9"/>
    <n v="15488"/>
    <x v="1"/>
    <x v="4"/>
  </r>
  <r>
    <x v="10"/>
    <n v="8743"/>
    <x v="1"/>
    <x v="4"/>
  </r>
  <r>
    <x v="11"/>
    <n v="30012"/>
    <x v="1"/>
    <x v="4"/>
  </r>
  <r>
    <x v="12"/>
    <n v="35622"/>
    <x v="1"/>
    <x v="4"/>
  </r>
  <r>
    <x v="13"/>
    <n v="35354"/>
    <x v="1"/>
    <x v="4"/>
  </r>
  <r>
    <x v="14"/>
    <n v="8694"/>
    <x v="1"/>
    <x v="4"/>
  </r>
  <r>
    <x v="15"/>
    <n v="36899"/>
    <x v="1"/>
    <x v="4"/>
  </r>
  <r>
    <x v="16"/>
    <n v="22790"/>
    <x v="1"/>
    <x v="4"/>
  </r>
  <r>
    <x v="17"/>
    <n v="12328"/>
    <x v="1"/>
    <x v="4"/>
  </r>
  <r>
    <x v="18"/>
    <n v="5791"/>
    <x v="1"/>
    <x v="4"/>
  </r>
  <r>
    <x v="19"/>
    <n v="11389"/>
    <x v="1"/>
    <x v="4"/>
  </r>
  <r>
    <x v="20"/>
    <n v="10772"/>
    <x v="1"/>
    <x v="4"/>
  </r>
  <r>
    <x v="21"/>
    <n v="13269"/>
    <x v="1"/>
    <x v="4"/>
  </r>
  <r>
    <x v="0"/>
    <n v="68322"/>
    <x v="0"/>
    <x v="5"/>
  </r>
  <r>
    <x v="1"/>
    <n v="4362"/>
    <x v="0"/>
    <x v="5"/>
  </r>
  <r>
    <x v="2"/>
    <n v="8558"/>
    <x v="0"/>
    <x v="5"/>
  </r>
  <r>
    <x v="3"/>
    <n v="21029"/>
    <x v="0"/>
    <x v="5"/>
  </r>
  <r>
    <x v="4"/>
    <n v="18946"/>
    <x v="0"/>
    <x v="5"/>
  </r>
  <r>
    <x v="5"/>
    <n v="10321"/>
    <x v="0"/>
    <x v="5"/>
  </r>
  <r>
    <x v="6"/>
    <n v="15486"/>
    <x v="0"/>
    <x v="5"/>
  </r>
  <r>
    <x v="7"/>
    <n v="17631"/>
    <x v="0"/>
    <x v="5"/>
  </r>
  <r>
    <x v="8"/>
    <n v="23939"/>
    <x v="0"/>
    <x v="5"/>
  </r>
  <r>
    <x v="9"/>
    <n v="16274"/>
    <x v="0"/>
    <x v="5"/>
  </r>
  <r>
    <x v="10"/>
    <n v="9187"/>
    <x v="0"/>
    <x v="5"/>
  </r>
  <r>
    <x v="11"/>
    <n v="31392"/>
    <x v="0"/>
    <x v="5"/>
  </r>
  <r>
    <x v="12"/>
    <n v="37905"/>
    <x v="0"/>
    <x v="5"/>
  </r>
  <r>
    <x v="13"/>
    <n v="37267"/>
    <x v="0"/>
    <x v="5"/>
  </r>
  <r>
    <x v="14"/>
    <n v="9125"/>
    <x v="0"/>
    <x v="5"/>
  </r>
  <r>
    <x v="15"/>
    <n v="39048"/>
    <x v="0"/>
    <x v="5"/>
  </r>
  <r>
    <x v="16"/>
    <n v="24196"/>
    <x v="0"/>
    <x v="5"/>
  </r>
  <r>
    <x v="17"/>
    <n v="12968"/>
    <x v="0"/>
    <x v="5"/>
  </r>
  <r>
    <x v="18"/>
    <n v="6034"/>
    <x v="0"/>
    <x v="5"/>
  </r>
  <r>
    <x v="19"/>
    <n v="11878"/>
    <x v="0"/>
    <x v="5"/>
  </r>
  <r>
    <x v="20"/>
    <n v="11270"/>
    <x v="0"/>
    <x v="5"/>
  </r>
  <r>
    <x v="21"/>
    <n v="13714"/>
    <x v="0"/>
    <x v="5"/>
  </r>
  <r>
    <x v="0"/>
    <n v="65716"/>
    <x v="1"/>
    <x v="5"/>
  </r>
  <r>
    <x v="1"/>
    <n v="4213"/>
    <x v="1"/>
    <x v="5"/>
  </r>
  <r>
    <x v="2"/>
    <n v="8261"/>
    <x v="1"/>
    <x v="5"/>
  </r>
  <r>
    <x v="3"/>
    <n v="20310"/>
    <x v="1"/>
    <x v="5"/>
  </r>
  <r>
    <x v="4"/>
    <n v="18213"/>
    <x v="1"/>
    <x v="5"/>
  </r>
  <r>
    <x v="5"/>
    <n v="9996"/>
    <x v="1"/>
    <x v="5"/>
  </r>
  <r>
    <x v="6"/>
    <n v="14942"/>
    <x v="1"/>
    <x v="5"/>
  </r>
  <r>
    <x v="7"/>
    <n v="17029"/>
    <x v="1"/>
    <x v="5"/>
  </r>
  <r>
    <x v="8"/>
    <n v="23144"/>
    <x v="1"/>
    <x v="5"/>
  </r>
  <r>
    <x v="9"/>
    <n v="15703"/>
    <x v="1"/>
    <x v="5"/>
  </r>
  <r>
    <x v="10"/>
    <n v="8848"/>
    <x v="1"/>
    <x v="5"/>
  </r>
  <r>
    <x v="11"/>
    <n v="30323"/>
    <x v="1"/>
    <x v="5"/>
  </r>
  <r>
    <x v="12"/>
    <n v="35715"/>
    <x v="1"/>
    <x v="5"/>
  </r>
  <r>
    <x v="13"/>
    <n v="35990"/>
    <x v="1"/>
    <x v="5"/>
  </r>
  <r>
    <x v="14"/>
    <n v="8843"/>
    <x v="1"/>
    <x v="5"/>
  </r>
  <r>
    <x v="15"/>
    <n v="37644"/>
    <x v="1"/>
    <x v="5"/>
  </r>
  <r>
    <x v="16"/>
    <n v="23228"/>
    <x v="1"/>
    <x v="5"/>
  </r>
  <r>
    <x v="17"/>
    <n v="12497"/>
    <x v="1"/>
    <x v="5"/>
  </r>
  <r>
    <x v="18"/>
    <n v="5842"/>
    <x v="1"/>
    <x v="5"/>
  </r>
  <r>
    <x v="19"/>
    <n v="11482"/>
    <x v="1"/>
    <x v="5"/>
  </r>
  <r>
    <x v="20"/>
    <n v="10905"/>
    <x v="1"/>
    <x v="5"/>
  </r>
  <r>
    <x v="21"/>
    <n v="13329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B7:I31" firstHeaderRow="1" firstDataRow="2" firstDataCol="1" rowPageCount="1" colPageCount="1"/>
  <pivotFields count="4">
    <pivotField axis="axisRow" subtotalTop="0" showAll="0">
      <items count="23">
        <item x="15"/>
        <item x="14"/>
        <item x="3"/>
        <item x="19"/>
        <item x="1"/>
        <item x="4"/>
        <item x="0"/>
        <item x="12"/>
        <item x="17"/>
        <item x="20"/>
        <item x="21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dataField="1" subtotalTop="0" numFmtId="3" showAll="0"/>
    <pivotField axis="axisPage" subtotalTop="0" multipleItemSelectionAllowed="1" showAll="0">
      <items count="3">
        <item x="1"/>
        <item h="1" x="0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/>
  </pageFields>
  <dataFields count="1">
    <dataField name="Sum of Cantidad" fld="1" baseField="0" baseItem="0" numFmtId="176"/>
  </dataFields>
  <formats count="5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B7:I31" firstHeaderRow="1" firstDataRow="2" firstDataCol="1" rowPageCount="1" colPageCount="1"/>
  <pivotFields count="4">
    <pivotField axis="axisRow" subtotalTop="0" showAll="0">
      <items count="23">
        <item x="15"/>
        <item x="14"/>
        <item x="3"/>
        <item x="19"/>
        <item x="1"/>
        <item x="4"/>
        <item x="0"/>
        <item x="12"/>
        <item x="17"/>
        <item x="20"/>
        <item x="21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dataField="1" subtotalTop="0" numFmtId="3" showAll="0"/>
    <pivotField axis="axisPage" subtotalTop="0" multipleItemSelectionAllowed="1" showAll="0">
      <items count="3">
        <item x="1"/>
        <item h="1" x="0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/>
  </pageFields>
  <dataFields count="1">
    <dataField name="Sum of Cantidad" fld="1" baseField="0" baseItem="0" numFmtId="176"/>
  </dataFields>
  <formats count="3"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K36"/>
  <sheetViews>
    <sheetView showGridLines="0" zoomScale="93" zoomScaleNormal="93" topLeftCell="A13" workbookViewId="0">
      <selection activeCell="M17" sqref="M17"/>
    </sheetView>
  </sheetViews>
  <sheetFormatPr defaultColWidth="9" defaultRowHeight="15"/>
  <cols>
    <col min="1" max="1" width="11" style="40" customWidth="1"/>
    <col min="2" max="3" width="9.14285714285714" style="40"/>
    <col min="4" max="4" width="7.85714285714286" style="40" customWidth="1"/>
    <col min="5" max="5" width="9.14285714285714" style="40"/>
    <col min="6" max="6" width="13" style="40" customWidth="1"/>
    <col min="7" max="7" width="9.14285714285714" style="40"/>
    <col min="8" max="8" width="7.42857142857143" style="40" customWidth="1"/>
    <col min="9" max="10" width="9.14285714285714" style="40"/>
    <col min="11" max="11" width="12.2857142857143" style="40" customWidth="1"/>
    <col min="12" max="16384" width="9.14285714285714" style="40"/>
  </cols>
  <sheetData>
    <row r="1" spans="1:11">
      <c r="A1" s="67" t="s">
        <v>0</v>
      </c>
      <c r="B1" s="67"/>
      <c r="C1" s="67"/>
      <c r="D1" s="67"/>
      <c r="E1" s="67"/>
      <c r="F1" s="67"/>
      <c r="G1" s="67"/>
      <c r="H1" s="68"/>
      <c r="I1" s="68" t="s">
        <v>1</v>
      </c>
      <c r="J1" s="68"/>
      <c r="K1" s="68"/>
    </row>
    <row r="2" spans="1:11">
      <c r="A2" s="69" t="s">
        <v>2</v>
      </c>
      <c r="B2" s="70"/>
      <c r="C2" s="70"/>
      <c r="D2" s="70"/>
      <c r="E2" s="70"/>
      <c r="F2" s="70"/>
      <c r="G2" s="71"/>
      <c r="H2" s="72"/>
      <c r="I2" s="104" t="s">
        <v>3</v>
      </c>
      <c r="J2" s="70"/>
      <c r="K2" s="71"/>
    </row>
    <row r="3" spans="1:1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1">
      <c r="A4" s="73" t="s">
        <v>4</v>
      </c>
      <c r="B4" s="67" t="s">
        <v>5</v>
      </c>
      <c r="C4" s="67"/>
      <c r="D4" s="67"/>
      <c r="E4" s="67"/>
      <c r="F4" s="67"/>
      <c r="G4" s="73" t="s">
        <v>4</v>
      </c>
      <c r="H4" s="74" t="s">
        <v>6</v>
      </c>
      <c r="I4" s="74"/>
      <c r="J4" s="74"/>
      <c r="K4" s="74"/>
    </row>
    <row r="5" spans="1:11">
      <c r="A5" s="75">
        <v>11130008</v>
      </c>
      <c r="B5" s="69" t="s">
        <v>7</v>
      </c>
      <c r="C5" s="70"/>
      <c r="D5" s="70"/>
      <c r="E5" s="70"/>
      <c r="F5" s="71"/>
      <c r="G5" s="76">
        <v>11</v>
      </c>
      <c r="H5" s="69" t="s">
        <v>8</v>
      </c>
      <c r="I5" s="70"/>
      <c r="J5" s="70"/>
      <c r="K5" s="71"/>
    </row>
    <row r="6" spans="1:1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>
      <c r="A7" s="67" t="s">
        <v>9</v>
      </c>
      <c r="B7" s="67"/>
      <c r="C7" s="67"/>
      <c r="D7" s="67"/>
      <c r="E7" s="67"/>
      <c r="F7" s="67"/>
      <c r="G7" s="67"/>
      <c r="H7" s="67"/>
      <c r="I7" s="67"/>
      <c r="J7" s="67"/>
      <c r="K7" s="67"/>
    </row>
    <row r="8" ht="18" customHeight="1" spans="1:11">
      <c r="A8" s="77" t="s">
        <v>10</v>
      </c>
      <c r="B8" s="78" t="s">
        <v>11</v>
      </c>
      <c r="C8" s="79"/>
      <c r="D8" s="79"/>
      <c r="E8" s="80"/>
      <c r="F8" s="81" t="s">
        <v>12</v>
      </c>
      <c r="G8" s="78" t="s">
        <v>13</v>
      </c>
      <c r="H8" s="79"/>
      <c r="I8" s="79"/>
      <c r="J8" s="79"/>
      <c r="K8" s="102"/>
    </row>
    <row r="9" ht="18" customHeight="1" spans="1:11">
      <c r="A9" s="82">
        <v>2011</v>
      </c>
      <c r="B9" s="83">
        <v>2014</v>
      </c>
      <c r="C9" s="84">
        <v>2015</v>
      </c>
      <c r="D9" s="84">
        <v>2016</v>
      </c>
      <c r="E9" s="85">
        <v>2017</v>
      </c>
      <c r="F9" s="82">
        <v>2018</v>
      </c>
      <c r="G9" s="84">
        <v>2019</v>
      </c>
      <c r="H9" s="84">
        <v>2020</v>
      </c>
      <c r="I9" s="84">
        <v>2021</v>
      </c>
      <c r="J9" s="84">
        <v>2022</v>
      </c>
      <c r="K9" s="85"/>
    </row>
    <row r="10" ht="18" customHeight="1" spans="1:11">
      <c r="A10" s="86">
        <v>84.6</v>
      </c>
      <c r="B10" s="87">
        <v>83.3</v>
      </c>
      <c r="C10" s="88">
        <v>83.3</v>
      </c>
      <c r="D10" s="88">
        <v>82.7</v>
      </c>
      <c r="E10" s="89">
        <v>82.3</v>
      </c>
      <c r="F10" s="86">
        <v>83.6</v>
      </c>
      <c r="G10" s="88">
        <v>84.5</v>
      </c>
      <c r="H10" s="88">
        <v>85.4</v>
      </c>
      <c r="I10" s="88">
        <v>86.5</v>
      </c>
      <c r="J10" s="88">
        <v>87.4</v>
      </c>
      <c r="K10" s="89"/>
    </row>
    <row r="11" spans="1:1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</row>
    <row r="12" spans="1:11">
      <c r="A12" s="67" t="s">
        <v>14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ht="22.5" customHeight="1" spans="1:11">
      <c r="A13" s="90" t="s">
        <v>15</v>
      </c>
      <c r="B13" s="91"/>
      <c r="C13" s="91"/>
      <c r="D13" s="91"/>
      <c r="E13" s="91"/>
      <c r="F13" s="91"/>
      <c r="G13" s="91"/>
      <c r="H13" s="91"/>
      <c r="I13" s="91"/>
      <c r="J13" s="91"/>
      <c r="K13" s="98"/>
    </row>
    <row r="14" ht="16.5" customHeight="1" spans="1:11">
      <c r="A14" s="92"/>
      <c r="B14" s="93"/>
      <c r="C14" s="93"/>
      <c r="D14" s="93"/>
      <c r="E14" s="93"/>
      <c r="F14" s="93"/>
      <c r="G14" s="93"/>
      <c r="H14" s="93"/>
      <c r="I14" s="93"/>
      <c r="J14" s="93"/>
      <c r="K14" s="99"/>
    </row>
    <row r="15" ht="10.5" customHeight="1" spans="1:11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</row>
    <row r="16" customHeight="1" spans="1:11">
      <c r="A16" s="67" t="s">
        <v>16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ht="18.75" customHeight="1" spans="1:11">
      <c r="A17" s="90" t="s">
        <v>17</v>
      </c>
      <c r="B17" s="91"/>
      <c r="C17" s="91"/>
      <c r="D17" s="91"/>
      <c r="E17" s="91"/>
      <c r="F17" s="91"/>
      <c r="G17" s="91"/>
      <c r="H17" s="91"/>
      <c r="I17" s="91"/>
      <c r="J17" s="91"/>
      <c r="K17" s="98"/>
    </row>
    <row r="18" ht="11.25" customHeight="1" spans="1:1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9"/>
    </row>
    <row r="19" ht="12" customHeight="1" spans="1:1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</row>
    <row r="20" spans="1:11">
      <c r="A20" s="68" t="s">
        <v>18</v>
      </c>
      <c r="B20" s="68"/>
      <c r="C20" s="68"/>
      <c r="D20" s="94"/>
      <c r="E20" s="68" t="s">
        <v>19</v>
      </c>
      <c r="F20" s="68"/>
      <c r="G20" s="68"/>
      <c r="H20" s="68"/>
      <c r="I20" s="68"/>
      <c r="J20" s="68"/>
      <c r="K20" s="68"/>
    </row>
    <row r="21" ht="66" customHeight="1" spans="1:11">
      <c r="A21" s="95" t="s">
        <v>20</v>
      </c>
      <c r="B21" s="96"/>
      <c r="C21" s="97"/>
      <c r="D21" s="72"/>
      <c r="E21" s="95" t="s">
        <v>21</v>
      </c>
      <c r="F21" s="96"/>
      <c r="G21" s="96"/>
      <c r="H21" s="96"/>
      <c r="I21" s="96"/>
      <c r="J21" s="96"/>
      <c r="K21" s="97"/>
    </row>
    <row r="22" ht="11.45" customHeight="1" spans="1:1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ht="3" customHeight="1" spans="1:1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</row>
    <row r="24" spans="1:11">
      <c r="A24" s="68" t="s">
        <v>22</v>
      </c>
      <c r="B24" s="68"/>
      <c r="C24" s="68"/>
      <c r="D24" s="68"/>
      <c r="E24" s="68"/>
      <c r="F24" s="68"/>
      <c r="G24" s="68"/>
      <c r="H24" s="94"/>
      <c r="I24" s="68" t="s">
        <v>23</v>
      </c>
      <c r="J24" s="68"/>
      <c r="K24" s="68"/>
    </row>
    <row r="25" ht="30.6" customHeight="1" spans="1:11">
      <c r="A25" s="90" t="s">
        <v>24</v>
      </c>
      <c r="B25" s="91"/>
      <c r="C25" s="91"/>
      <c r="D25" s="91"/>
      <c r="E25" s="91"/>
      <c r="F25" s="91"/>
      <c r="G25" s="98"/>
      <c r="H25" s="94"/>
      <c r="I25" s="95" t="s">
        <v>25</v>
      </c>
      <c r="J25" s="96"/>
      <c r="K25" s="97"/>
    </row>
    <row r="26" ht="20.25" customHeight="1" spans="1:11">
      <c r="A26" s="92"/>
      <c r="B26" s="93"/>
      <c r="C26" s="93"/>
      <c r="D26" s="93"/>
      <c r="E26" s="93"/>
      <c r="F26" s="93"/>
      <c r="G26" s="99"/>
      <c r="H26" s="94"/>
      <c r="I26" s="103" t="s">
        <v>26</v>
      </c>
      <c r="J26" s="70" t="s">
        <v>27</v>
      </c>
      <c r="K26" s="71"/>
    </row>
    <row r="27" ht="15.75" customHeight="1" spans="1:8">
      <c r="A27" s="100"/>
      <c r="B27" s="100"/>
      <c r="C27" s="100"/>
      <c r="D27" s="100"/>
      <c r="E27" s="100"/>
      <c r="F27" s="100"/>
      <c r="G27" s="100"/>
      <c r="H27" s="94"/>
    </row>
    <row r="28" spans="1:11">
      <c r="A28" s="68" t="s">
        <v>28</v>
      </c>
      <c r="B28" s="68"/>
      <c r="C28" s="68"/>
      <c r="D28" s="68"/>
      <c r="E28" s="68"/>
      <c r="F28" s="68"/>
      <c r="G28" s="68"/>
      <c r="H28" s="94"/>
      <c r="I28" s="68" t="s">
        <v>29</v>
      </c>
      <c r="J28" s="68"/>
      <c r="K28" s="68"/>
    </row>
    <row r="29" ht="33" customHeight="1" spans="1:11">
      <c r="A29" s="95" t="s">
        <v>30</v>
      </c>
      <c r="B29" s="96"/>
      <c r="C29" s="96"/>
      <c r="D29" s="96"/>
      <c r="E29" s="96"/>
      <c r="F29" s="96"/>
      <c r="G29" s="97"/>
      <c r="H29" s="94"/>
      <c r="I29" s="95" t="s">
        <v>31</v>
      </c>
      <c r="J29" s="96"/>
      <c r="K29" s="97"/>
    </row>
    <row r="30" ht="28.5" customHeight="1" spans="1:11">
      <c r="A30" s="95" t="s">
        <v>32</v>
      </c>
      <c r="B30" s="96"/>
      <c r="C30" s="96" t="s">
        <v>33</v>
      </c>
      <c r="D30" s="96"/>
      <c r="E30" s="96"/>
      <c r="F30" s="96"/>
      <c r="G30" s="97"/>
      <c r="H30" s="94"/>
      <c r="I30" s="103" t="s">
        <v>26</v>
      </c>
      <c r="J30" s="70" t="s">
        <v>34</v>
      </c>
      <c r="K30" s="71"/>
    </row>
    <row r="31" spans="1:11">
      <c r="A31" s="94"/>
      <c r="B31" s="94"/>
      <c r="C31" s="94"/>
      <c r="D31" s="94"/>
      <c r="E31" s="94"/>
      <c r="F31" s="94"/>
      <c r="G31" s="94"/>
      <c r="H31" s="94"/>
      <c r="I31" s="72"/>
      <c r="J31" s="72"/>
      <c r="K31" s="72"/>
    </row>
    <row r="32" spans="1:11">
      <c r="A32" s="68" t="s">
        <v>35</v>
      </c>
      <c r="B32" s="68"/>
      <c r="C32" s="68"/>
      <c r="D32" s="68"/>
      <c r="E32" s="68"/>
      <c r="F32" s="68"/>
      <c r="G32" s="68"/>
      <c r="H32" s="94"/>
      <c r="I32" s="68" t="s">
        <v>36</v>
      </c>
      <c r="J32" s="68"/>
      <c r="K32" s="68"/>
    </row>
    <row r="33" spans="1:11">
      <c r="A33" s="69" t="s">
        <v>37</v>
      </c>
      <c r="B33" s="70"/>
      <c r="C33" s="70"/>
      <c r="D33" s="70"/>
      <c r="E33" s="70"/>
      <c r="F33" s="70"/>
      <c r="G33" s="71"/>
      <c r="H33" s="94"/>
      <c r="I33" s="69" t="s">
        <v>38</v>
      </c>
      <c r="J33" s="70"/>
      <c r="K33" s="71"/>
    </row>
    <row r="34" spans="1:1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spans="1:11">
      <c r="A35" s="74" t="s">
        <v>39</v>
      </c>
      <c r="B35" s="74"/>
      <c r="C35" s="74"/>
      <c r="D35" s="94"/>
      <c r="E35" s="67" t="s">
        <v>40</v>
      </c>
      <c r="F35" s="67"/>
      <c r="G35" s="67"/>
      <c r="H35" s="94"/>
      <c r="I35" s="67" t="s">
        <v>41</v>
      </c>
      <c r="J35" s="67"/>
      <c r="K35" s="67"/>
    </row>
    <row r="36" spans="1:11">
      <c r="A36" s="69" t="s">
        <v>42</v>
      </c>
      <c r="B36" s="70"/>
      <c r="C36" s="71"/>
      <c r="D36" s="101"/>
      <c r="E36" s="69"/>
      <c r="F36" s="70"/>
      <c r="G36" s="71"/>
      <c r="H36" s="101"/>
      <c r="I36" s="69"/>
      <c r="J36" s="70"/>
      <c r="K36" s="71"/>
    </row>
  </sheetData>
  <mergeCells count="41">
    <mergeCell ref="A1:G1"/>
    <mergeCell ref="I1:K1"/>
    <mergeCell ref="A2:G2"/>
    <mergeCell ref="I2:K2"/>
    <mergeCell ref="B4:F4"/>
    <mergeCell ref="H4:K4"/>
    <mergeCell ref="B5:F5"/>
    <mergeCell ref="H5:K5"/>
    <mergeCell ref="A7:K7"/>
    <mergeCell ref="B8:E8"/>
    <mergeCell ref="G8:J8"/>
    <mergeCell ref="A12:K12"/>
    <mergeCell ref="A16:K16"/>
    <mergeCell ref="A20:C20"/>
    <mergeCell ref="E20:K20"/>
    <mergeCell ref="A21:C21"/>
    <mergeCell ref="E21:K21"/>
    <mergeCell ref="A24:G24"/>
    <mergeCell ref="I24:K24"/>
    <mergeCell ref="I25:K25"/>
    <mergeCell ref="J26:K26"/>
    <mergeCell ref="A28:G28"/>
    <mergeCell ref="I28:K28"/>
    <mergeCell ref="A29:G29"/>
    <mergeCell ref="I29:K29"/>
    <mergeCell ref="A30:B30"/>
    <mergeCell ref="C30:G30"/>
    <mergeCell ref="J30:K30"/>
    <mergeCell ref="A32:G32"/>
    <mergeCell ref="I32:K32"/>
    <mergeCell ref="A33:G33"/>
    <mergeCell ref="I33:K33"/>
    <mergeCell ref="A35:C35"/>
    <mergeCell ref="E35:G35"/>
    <mergeCell ref="I35:K35"/>
    <mergeCell ref="A36:C36"/>
    <mergeCell ref="E36:G36"/>
    <mergeCell ref="I36:K36"/>
    <mergeCell ref="A13:K14"/>
    <mergeCell ref="A17:K18"/>
    <mergeCell ref="A25:G26"/>
  </mergeCells>
  <pageMargins left="0.708333333333333" right="0.708333333333333" top="1.53541666666667" bottom="0.747916666666667" header="0.314583333333333" footer="0.314583333333333"/>
  <pageSetup paperSize="1" scale="84" orientation="portrait" horizontalDpi="200" verticalDpi="200"/>
  <headerFooter>
    <oddHeader>&amp;L&amp;G&amp;C
&amp;16FICHA TÉCNICA DE INDICADOR&amp;R&amp;KFF0000FTI-V03.0</oddHeader>
    <oddFooter>&amp;C&amp;K04+0008 Avenida 20-59 zona 1 Centro cívico Guatemala PBX: 23743000 - Http://observatorio.minfin.gob.gt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31"/>
  <sheetViews>
    <sheetView showGridLines="0" workbookViewId="0">
      <selection activeCell="F9" sqref="F9:F30"/>
    </sheetView>
  </sheetViews>
  <sheetFormatPr defaultColWidth="9" defaultRowHeight="15"/>
  <cols>
    <col min="1" max="2" width="15.5714285714286" customWidth="1"/>
    <col min="3" max="3" width="16.2857142857143" customWidth="1"/>
    <col min="4" max="8" width="9" customWidth="1"/>
    <col min="9" max="9" width="11.2857142857143" customWidth="1"/>
  </cols>
  <sheetData>
    <row r="2" ht="23.25" spans="2:2">
      <c r="B2" s="30" t="s">
        <v>43</v>
      </c>
    </row>
    <row r="3" ht="23.25" spans="2:3">
      <c r="B3" s="30" t="s">
        <v>26</v>
      </c>
      <c r="C3" s="30" t="s">
        <v>27</v>
      </c>
    </row>
    <row r="5" ht="21" spans="1:3">
      <c r="A5" s="66"/>
      <c r="B5" t="s">
        <v>44</v>
      </c>
      <c r="C5" t="s">
        <v>45</v>
      </c>
    </row>
    <row r="7" spans="2:3">
      <c r="B7" t="s">
        <v>46</v>
      </c>
      <c r="C7" t="s">
        <v>47</v>
      </c>
    </row>
    <row r="8" spans="2:9">
      <c r="B8" t="s">
        <v>48</v>
      </c>
      <c r="C8">
        <v>2011</v>
      </c>
      <c r="D8">
        <v>2012</v>
      </c>
      <c r="E8">
        <v>2013</v>
      </c>
      <c r="F8">
        <v>2014</v>
      </c>
      <c r="G8">
        <v>2015</v>
      </c>
      <c r="H8">
        <v>2016</v>
      </c>
      <c r="I8" t="s">
        <v>49</v>
      </c>
    </row>
    <row r="9" spans="2:9">
      <c r="B9" s="7" t="s">
        <v>50</v>
      </c>
      <c r="C9" s="8">
        <v>13227</v>
      </c>
      <c r="D9" s="8">
        <v>11513</v>
      </c>
      <c r="E9" s="8">
        <v>12436</v>
      </c>
      <c r="F9" s="8">
        <v>13491</v>
      </c>
      <c r="G9" s="8">
        <v>13381</v>
      </c>
      <c r="H9" s="8">
        <v>12920</v>
      </c>
      <c r="I9" s="8">
        <v>76968</v>
      </c>
    </row>
    <row r="10" spans="2:9">
      <c r="B10" s="7" t="s">
        <v>51</v>
      </c>
      <c r="C10" s="8">
        <v>4092</v>
      </c>
      <c r="D10" s="8">
        <v>3948</v>
      </c>
      <c r="E10" s="8">
        <v>3994</v>
      </c>
      <c r="F10" s="8">
        <v>3966</v>
      </c>
      <c r="G10" s="8">
        <v>3997</v>
      </c>
      <c r="H10" s="8">
        <v>3987</v>
      </c>
      <c r="I10" s="8">
        <v>23984</v>
      </c>
    </row>
    <row r="11" spans="2:9">
      <c r="B11" s="7" t="s">
        <v>52</v>
      </c>
      <c r="C11" s="8">
        <v>7379</v>
      </c>
      <c r="D11" s="8">
        <v>7148</v>
      </c>
      <c r="E11" s="8">
        <v>7133</v>
      </c>
      <c r="F11" s="8">
        <v>7654</v>
      </c>
      <c r="G11" s="8">
        <v>7815</v>
      </c>
      <c r="H11" s="8">
        <v>7901</v>
      </c>
      <c r="I11" s="8">
        <v>45030</v>
      </c>
    </row>
    <row r="12" spans="2:9">
      <c r="B12" s="7" t="s">
        <v>53</v>
      </c>
      <c r="C12" s="8">
        <v>5698</v>
      </c>
      <c r="D12" s="8">
        <v>5219</v>
      </c>
      <c r="E12" s="8">
        <v>5174</v>
      </c>
      <c r="F12" s="8">
        <v>5441</v>
      </c>
      <c r="G12" s="8">
        <v>5588</v>
      </c>
      <c r="H12" s="8">
        <v>5356</v>
      </c>
      <c r="I12" s="8">
        <v>32476</v>
      </c>
    </row>
    <row r="13" spans="2:9">
      <c r="B13" s="7" t="s">
        <v>54</v>
      </c>
      <c r="C13" s="8">
        <v>2248</v>
      </c>
      <c r="D13" s="8">
        <v>2298</v>
      </c>
      <c r="E13" s="8">
        <v>2520</v>
      </c>
      <c r="F13" s="8">
        <v>2629</v>
      </c>
      <c r="G13" s="8">
        <v>2730</v>
      </c>
      <c r="H13" s="8">
        <v>2713</v>
      </c>
      <c r="I13" s="8">
        <v>15138</v>
      </c>
    </row>
    <row r="14" spans="2:9">
      <c r="B14" s="7" t="s">
        <v>55</v>
      </c>
      <c r="C14" s="8">
        <v>10554</v>
      </c>
      <c r="D14" s="8">
        <v>9834</v>
      </c>
      <c r="E14" s="8">
        <v>9873</v>
      </c>
      <c r="F14" s="8">
        <v>10021</v>
      </c>
      <c r="G14" s="8">
        <v>10584</v>
      </c>
      <c r="H14" s="8">
        <v>10410</v>
      </c>
      <c r="I14" s="8">
        <v>61276</v>
      </c>
    </row>
    <row r="15" spans="2:9">
      <c r="B15" s="7" t="s">
        <v>56</v>
      </c>
      <c r="C15" s="8">
        <v>45877</v>
      </c>
      <c r="D15" s="8">
        <v>43271</v>
      </c>
      <c r="E15" s="8">
        <v>44079</v>
      </c>
      <c r="F15" s="8">
        <v>45890</v>
      </c>
      <c r="G15" s="8">
        <v>46068</v>
      </c>
      <c r="H15" s="8">
        <v>45456</v>
      </c>
      <c r="I15" s="8">
        <v>270641</v>
      </c>
    </row>
    <row r="16" spans="2:9">
      <c r="B16" s="7" t="s">
        <v>57</v>
      </c>
      <c r="C16" s="8">
        <v>13140</v>
      </c>
      <c r="D16" s="8">
        <v>11640</v>
      </c>
      <c r="E16" s="8">
        <v>12432</v>
      </c>
      <c r="F16" s="8">
        <v>12990</v>
      </c>
      <c r="G16" s="8">
        <v>13047</v>
      </c>
      <c r="H16" s="8">
        <v>13163</v>
      </c>
      <c r="I16" s="8">
        <v>76412</v>
      </c>
    </row>
    <row r="17" spans="2:9">
      <c r="B17" s="7" t="s">
        <v>58</v>
      </c>
      <c r="C17" s="8">
        <v>5813</v>
      </c>
      <c r="D17" s="8">
        <v>5131</v>
      </c>
      <c r="E17" s="8">
        <v>5229</v>
      </c>
      <c r="F17" s="8">
        <v>5383</v>
      </c>
      <c r="G17" s="8">
        <v>5549</v>
      </c>
      <c r="H17" s="8">
        <v>5558</v>
      </c>
      <c r="I17" s="8">
        <v>32663</v>
      </c>
    </row>
    <row r="18" spans="2:9">
      <c r="B18" s="7" t="s">
        <v>59</v>
      </c>
      <c r="C18" s="8">
        <v>5086</v>
      </c>
      <c r="D18" s="8">
        <v>4558</v>
      </c>
      <c r="E18" s="8">
        <v>4623</v>
      </c>
      <c r="F18" s="8">
        <v>4622</v>
      </c>
      <c r="G18" s="8">
        <v>4804</v>
      </c>
      <c r="H18" s="8">
        <v>4560</v>
      </c>
      <c r="I18" s="8">
        <v>28253</v>
      </c>
    </row>
    <row r="19" spans="2:9">
      <c r="B19" s="7" t="s">
        <v>60</v>
      </c>
      <c r="C19" s="8">
        <v>7437</v>
      </c>
      <c r="D19" s="8">
        <v>7005</v>
      </c>
      <c r="E19" s="8">
        <v>6918</v>
      </c>
      <c r="F19" s="8">
        <v>7080</v>
      </c>
      <c r="G19" s="8">
        <v>7203</v>
      </c>
      <c r="H19" s="8">
        <v>7173</v>
      </c>
      <c r="I19" s="8">
        <v>42816</v>
      </c>
    </row>
    <row r="20" spans="2:9">
      <c r="B20" s="7" t="s">
        <v>61</v>
      </c>
      <c r="C20" s="8">
        <v>7591</v>
      </c>
      <c r="D20" s="8">
        <v>7449</v>
      </c>
      <c r="E20" s="8">
        <v>8087</v>
      </c>
      <c r="F20" s="8">
        <v>8511</v>
      </c>
      <c r="G20" s="8">
        <v>8870</v>
      </c>
      <c r="H20" s="8">
        <v>8779</v>
      </c>
      <c r="I20" s="8">
        <v>49287</v>
      </c>
    </row>
    <row r="21" spans="2:9">
      <c r="B21" s="7" t="s">
        <v>62</v>
      </c>
      <c r="C21" s="8">
        <v>10306</v>
      </c>
      <c r="D21" s="8">
        <v>9681</v>
      </c>
      <c r="E21" s="8">
        <v>10540</v>
      </c>
      <c r="F21" s="8">
        <v>10878</v>
      </c>
      <c r="G21" s="8">
        <v>11028</v>
      </c>
      <c r="H21" s="8">
        <v>11141</v>
      </c>
      <c r="I21" s="8">
        <v>63574</v>
      </c>
    </row>
    <row r="22" spans="2:9">
      <c r="B22" s="7" t="s">
        <v>63</v>
      </c>
      <c r="C22" s="8">
        <v>11075</v>
      </c>
      <c r="D22" s="8">
        <v>9792</v>
      </c>
      <c r="E22" s="8">
        <v>10104</v>
      </c>
      <c r="F22" s="8">
        <v>10731</v>
      </c>
      <c r="G22" s="8">
        <v>11166</v>
      </c>
      <c r="H22" s="8">
        <v>10890</v>
      </c>
      <c r="I22" s="8">
        <v>63758</v>
      </c>
    </row>
    <row r="23" spans="2:9">
      <c r="B23" s="7" t="s">
        <v>64</v>
      </c>
      <c r="C23" s="8">
        <v>5112</v>
      </c>
      <c r="D23" s="8">
        <v>4699</v>
      </c>
      <c r="E23" s="8">
        <v>4857</v>
      </c>
      <c r="F23" s="8">
        <v>4846</v>
      </c>
      <c r="G23" s="8">
        <v>4958</v>
      </c>
      <c r="H23" s="8">
        <v>5033</v>
      </c>
      <c r="I23" s="8">
        <v>29505</v>
      </c>
    </row>
    <row r="24" spans="2:9">
      <c r="B24" s="7" t="s">
        <v>65</v>
      </c>
      <c r="C24" s="8">
        <v>4467</v>
      </c>
      <c r="D24" s="8">
        <v>4356</v>
      </c>
      <c r="E24" s="8">
        <v>4461</v>
      </c>
      <c r="F24" s="8">
        <v>4581</v>
      </c>
      <c r="G24" s="8">
        <v>4602</v>
      </c>
      <c r="H24" s="8">
        <v>4586</v>
      </c>
      <c r="I24" s="8">
        <v>27053</v>
      </c>
    </row>
    <row r="25" spans="2:9">
      <c r="B25" s="7" t="s">
        <v>66</v>
      </c>
      <c r="C25" s="8">
        <v>13664</v>
      </c>
      <c r="D25" s="8">
        <v>12905</v>
      </c>
      <c r="E25" s="8">
        <v>13397</v>
      </c>
      <c r="F25" s="8">
        <v>14099</v>
      </c>
      <c r="G25" s="8">
        <v>14346</v>
      </c>
      <c r="H25" s="8">
        <v>14406</v>
      </c>
      <c r="I25" s="8">
        <v>82817</v>
      </c>
    </row>
    <row r="26" spans="2:9">
      <c r="B26" s="7" t="s">
        <v>67</v>
      </c>
      <c r="C26" s="8">
        <v>5698</v>
      </c>
      <c r="D26" s="8">
        <v>5256</v>
      </c>
      <c r="E26" s="8">
        <v>5475</v>
      </c>
      <c r="F26" s="8">
        <v>5662</v>
      </c>
      <c r="G26" s="8">
        <v>5600</v>
      </c>
      <c r="H26" s="8">
        <v>5360</v>
      </c>
      <c r="I26" s="8">
        <v>33051</v>
      </c>
    </row>
    <row r="27" spans="2:9">
      <c r="B27" s="7" t="s">
        <v>68</v>
      </c>
      <c r="C27" s="8">
        <v>5897</v>
      </c>
      <c r="D27" s="8">
        <v>5914</v>
      </c>
      <c r="E27" s="8">
        <v>6099</v>
      </c>
      <c r="F27" s="8">
        <v>6449</v>
      </c>
      <c r="G27" s="8">
        <v>6333</v>
      </c>
      <c r="H27" s="8">
        <v>6210</v>
      </c>
      <c r="I27" s="8">
        <v>36902</v>
      </c>
    </row>
    <row r="28" spans="2:9">
      <c r="B28" s="7" t="s">
        <v>69</v>
      </c>
      <c r="C28" s="8">
        <v>8728</v>
      </c>
      <c r="D28" s="8">
        <v>7885</v>
      </c>
      <c r="E28" s="8">
        <v>7932</v>
      </c>
      <c r="F28" s="8">
        <v>7802</v>
      </c>
      <c r="G28" s="8">
        <v>8095</v>
      </c>
      <c r="H28" s="8">
        <v>7881</v>
      </c>
      <c r="I28" s="8">
        <v>48323</v>
      </c>
    </row>
    <row r="29" spans="2:9">
      <c r="B29" s="7" t="s">
        <v>70</v>
      </c>
      <c r="C29" s="8">
        <v>5659</v>
      </c>
      <c r="D29" s="8">
        <v>5469</v>
      </c>
      <c r="E29" s="8">
        <v>5543</v>
      </c>
      <c r="F29" s="8">
        <v>5552</v>
      </c>
      <c r="G29" s="8">
        <v>5296</v>
      </c>
      <c r="H29" s="8">
        <v>5502</v>
      </c>
      <c r="I29" s="8">
        <v>33021</v>
      </c>
    </row>
    <row r="30" spans="2:9">
      <c r="B30" s="7" t="s">
        <v>71</v>
      </c>
      <c r="C30" s="8">
        <v>3555</v>
      </c>
      <c r="D30" s="8">
        <v>3217</v>
      </c>
      <c r="E30" s="8">
        <v>3309</v>
      </c>
      <c r="F30" s="8">
        <v>3303</v>
      </c>
      <c r="G30" s="8">
        <v>3473</v>
      </c>
      <c r="H30" s="8">
        <v>3469</v>
      </c>
      <c r="I30" s="8">
        <v>20326</v>
      </c>
    </row>
    <row r="31" spans="2:9">
      <c r="B31" s="7" t="s">
        <v>49</v>
      </c>
      <c r="C31" s="8">
        <v>202303</v>
      </c>
      <c r="D31" s="8">
        <v>188188</v>
      </c>
      <c r="E31" s="8">
        <v>194215</v>
      </c>
      <c r="F31" s="8">
        <v>201581</v>
      </c>
      <c r="G31" s="8">
        <v>204533</v>
      </c>
      <c r="H31" s="8">
        <v>202454</v>
      </c>
      <c r="I31" s="8">
        <v>1193274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M89"/>
  <sheetViews>
    <sheetView workbookViewId="0">
      <selection activeCell="C2" sqref="C2"/>
    </sheetView>
  </sheetViews>
  <sheetFormatPr defaultColWidth="9" defaultRowHeight="15"/>
  <cols>
    <col min="3" max="3" width="15.4285714285714" customWidth="1"/>
    <col min="10" max="10" width="11.2857142857143" customWidth="1"/>
    <col min="12" max="12" width="34.5714285714286" customWidth="1"/>
  </cols>
  <sheetData>
    <row r="1" spans="3:13">
      <c r="C1" s="2" t="s">
        <v>72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 t="s">
        <v>49</v>
      </c>
      <c r="K1" s="2" t="s">
        <v>44</v>
      </c>
      <c r="L1" s="2" t="s">
        <v>73</v>
      </c>
      <c r="M1" s="6"/>
    </row>
    <row r="2" spans="3:12">
      <c r="C2" s="7" t="s">
        <v>50</v>
      </c>
      <c r="D2" s="8">
        <v>13227</v>
      </c>
      <c r="E2" s="8">
        <v>11513</v>
      </c>
      <c r="F2" s="8">
        <v>12436</v>
      </c>
      <c r="G2" s="8">
        <v>13491</v>
      </c>
      <c r="H2" s="8">
        <v>13381</v>
      </c>
      <c r="I2" s="8">
        <v>12920</v>
      </c>
      <c r="J2" s="8">
        <v>76968</v>
      </c>
      <c r="K2" t="s">
        <v>45</v>
      </c>
      <c r="L2" t="s">
        <v>74</v>
      </c>
    </row>
    <row r="3" spans="3:12">
      <c r="C3" s="7" t="s">
        <v>51</v>
      </c>
      <c r="D3" s="8">
        <v>4092</v>
      </c>
      <c r="E3" s="8">
        <v>3948</v>
      </c>
      <c r="F3" s="8">
        <v>3994</v>
      </c>
      <c r="G3" s="8">
        <v>3966</v>
      </c>
      <c r="H3" s="8">
        <v>3997</v>
      </c>
      <c r="I3" s="8">
        <v>3987</v>
      </c>
      <c r="J3" s="8">
        <v>23984</v>
      </c>
      <c r="K3" t="s">
        <v>45</v>
      </c>
      <c r="L3" t="s">
        <v>74</v>
      </c>
    </row>
    <row r="4" spans="3:12">
      <c r="C4" s="7" t="s">
        <v>52</v>
      </c>
      <c r="D4" s="8">
        <v>7379</v>
      </c>
      <c r="E4" s="8">
        <v>7148</v>
      </c>
      <c r="F4" s="8">
        <v>7133</v>
      </c>
      <c r="G4" s="8">
        <v>7654</v>
      </c>
      <c r="H4" s="8">
        <v>7815</v>
      </c>
      <c r="I4" s="8">
        <v>7901</v>
      </c>
      <c r="J4" s="8">
        <v>45030</v>
      </c>
      <c r="K4" t="s">
        <v>45</v>
      </c>
      <c r="L4" t="s">
        <v>74</v>
      </c>
    </row>
    <row r="5" spans="3:12">
      <c r="C5" s="7" t="s">
        <v>53</v>
      </c>
      <c r="D5" s="8">
        <v>5698</v>
      </c>
      <c r="E5" s="8">
        <v>5219</v>
      </c>
      <c r="F5" s="8">
        <v>5174</v>
      </c>
      <c r="G5" s="8">
        <v>5441</v>
      </c>
      <c r="H5" s="8">
        <v>5588</v>
      </c>
      <c r="I5" s="8">
        <v>5356</v>
      </c>
      <c r="J5" s="8">
        <v>32476</v>
      </c>
      <c r="K5" t="s">
        <v>45</v>
      </c>
      <c r="L5" t="s">
        <v>74</v>
      </c>
    </row>
    <row r="6" spans="3:12">
      <c r="C6" s="7" t="s">
        <v>54</v>
      </c>
      <c r="D6" s="8">
        <v>2248</v>
      </c>
      <c r="E6" s="8">
        <v>2298</v>
      </c>
      <c r="F6" s="8">
        <v>2520</v>
      </c>
      <c r="G6" s="8">
        <v>2629</v>
      </c>
      <c r="H6" s="8">
        <v>2730</v>
      </c>
      <c r="I6" s="8">
        <v>2713</v>
      </c>
      <c r="J6" s="8">
        <v>15138</v>
      </c>
      <c r="K6" t="s">
        <v>45</v>
      </c>
      <c r="L6" t="s">
        <v>74</v>
      </c>
    </row>
    <row r="7" spans="3:12">
      <c r="C7" s="7" t="s">
        <v>55</v>
      </c>
      <c r="D7" s="8">
        <v>10554</v>
      </c>
      <c r="E7" s="8">
        <v>9834</v>
      </c>
      <c r="F7" s="8">
        <v>9873</v>
      </c>
      <c r="G7" s="8">
        <v>10021</v>
      </c>
      <c r="H7" s="8">
        <v>10584</v>
      </c>
      <c r="I7" s="8">
        <v>10410</v>
      </c>
      <c r="J7" s="8">
        <v>61276</v>
      </c>
      <c r="K7" t="s">
        <v>45</v>
      </c>
      <c r="L7" t="s">
        <v>74</v>
      </c>
    </row>
    <row r="8" spans="3:12">
      <c r="C8" s="7" t="s">
        <v>56</v>
      </c>
      <c r="D8" s="8">
        <v>45877</v>
      </c>
      <c r="E8" s="8">
        <v>43271</v>
      </c>
      <c r="F8" s="8">
        <v>44079</v>
      </c>
      <c r="G8" s="8">
        <v>45890</v>
      </c>
      <c r="H8" s="8">
        <v>46068</v>
      </c>
      <c r="I8" s="8">
        <v>45456</v>
      </c>
      <c r="J8" s="8">
        <v>270641</v>
      </c>
      <c r="K8" t="s">
        <v>45</v>
      </c>
      <c r="L8" t="s">
        <v>74</v>
      </c>
    </row>
    <row r="9" spans="3:12">
      <c r="C9" s="7" t="s">
        <v>57</v>
      </c>
      <c r="D9" s="8">
        <v>13140</v>
      </c>
      <c r="E9" s="8">
        <v>11640</v>
      </c>
      <c r="F9" s="8">
        <v>12432</v>
      </c>
      <c r="G9" s="8">
        <v>12990</v>
      </c>
      <c r="H9" s="8">
        <v>13047</v>
      </c>
      <c r="I9" s="8">
        <v>13163</v>
      </c>
      <c r="J9" s="8">
        <v>76412</v>
      </c>
      <c r="K9" t="s">
        <v>45</v>
      </c>
      <c r="L9" t="s">
        <v>74</v>
      </c>
    </row>
    <row r="10" spans="3:12">
      <c r="C10" s="7" t="s">
        <v>58</v>
      </c>
      <c r="D10" s="8">
        <v>5813</v>
      </c>
      <c r="E10" s="8">
        <v>5131</v>
      </c>
      <c r="F10" s="8">
        <v>5229</v>
      </c>
      <c r="G10" s="8">
        <v>5383</v>
      </c>
      <c r="H10" s="8">
        <v>5549</v>
      </c>
      <c r="I10" s="8">
        <v>5558</v>
      </c>
      <c r="J10" s="8">
        <v>32663</v>
      </c>
      <c r="K10" t="s">
        <v>45</v>
      </c>
      <c r="L10" t="s">
        <v>74</v>
      </c>
    </row>
    <row r="11" spans="3:12">
      <c r="C11" s="7" t="s">
        <v>59</v>
      </c>
      <c r="D11" s="8">
        <v>5086</v>
      </c>
      <c r="E11" s="8">
        <v>4558</v>
      </c>
      <c r="F11" s="8">
        <v>4623</v>
      </c>
      <c r="G11" s="8">
        <v>4622</v>
      </c>
      <c r="H11" s="8">
        <v>4804</v>
      </c>
      <c r="I11" s="8">
        <v>4560</v>
      </c>
      <c r="J11" s="8">
        <v>28253</v>
      </c>
      <c r="K11" t="s">
        <v>45</v>
      </c>
      <c r="L11" t="s">
        <v>74</v>
      </c>
    </row>
    <row r="12" spans="3:12">
      <c r="C12" s="7" t="s">
        <v>60</v>
      </c>
      <c r="D12" s="8">
        <v>7437</v>
      </c>
      <c r="E12" s="8">
        <v>7005</v>
      </c>
      <c r="F12" s="8">
        <v>6918</v>
      </c>
      <c r="G12" s="8">
        <v>7080</v>
      </c>
      <c r="H12" s="8">
        <v>7203</v>
      </c>
      <c r="I12" s="8">
        <v>7173</v>
      </c>
      <c r="J12" s="8">
        <v>42816</v>
      </c>
      <c r="K12" t="s">
        <v>45</v>
      </c>
      <c r="L12" t="s">
        <v>74</v>
      </c>
    </row>
    <row r="13" spans="3:12">
      <c r="C13" s="7" t="s">
        <v>61</v>
      </c>
      <c r="D13" s="8">
        <v>7591</v>
      </c>
      <c r="E13" s="8">
        <v>7449</v>
      </c>
      <c r="F13" s="8">
        <v>8087</v>
      </c>
      <c r="G13" s="8">
        <v>8511</v>
      </c>
      <c r="H13" s="8">
        <v>8870</v>
      </c>
      <c r="I13" s="8">
        <v>8779</v>
      </c>
      <c r="J13" s="8">
        <v>49287</v>
      </c>
      <c r="K13" t="s">
        <v>45</v>
      </c>
      <c r="L13" t="s">
        <v>74</v>
      </c>
    </row>
    <row r="14" spans="3:12">
      <c r="C14" s="7" t="s">
        <v>62</v>
      </c>
      <c r="D14" s="8">
        <v>10306</v>
      </c>
      <c r="E14" s="8">
        <v>9681</v>
      </c>
      <c r="F14" s="8">
        <v>10540</v>
      </c>
      <c r="G14" s="8">
        <v>10878</v>
      </c>
      <c r="H14" s="8">
        <v>11028</v>
      </c>
      <c r="I14" s="8">
        <v>11141</v>
      </c>
      <c r="J14" s="8">
        <v>63574</v>
      </c>
      <c r="K14" t="s">
        <v>45</v>
      </c>
      <c r="L14" t="s">
        <v>74</v>
      </c>
    </row>
    <row r="15" spans="3:12">
      <c r="C15" s="7" t="s">
        <v>63</v>
      </c>
      <c r="D15" s="8">
        <v>11075</v>
      </c>
      <c r="E15" s="8">
        <v>9792</v>
      </c>
      <c r="F15" s="8">
        <v>10104</v>
      </c>
      <c r="G15" s="8">
        <v>10731</v>
      </c>
      <c r="H15" s="8">
        <v>11166</v>
      </c>
      <c r="I15" s="8">
        <v>10890</v>
      </c>
      <c r="J15" s="8">
        <v>63758</v>
      </c>
      <c r="K15" t="s">
        <v>45</v>
      </c>
      <c r="L15" t="s">
        <v>74</v>
      </c>
    </row>
    <row r="16" spans="3:12">
      <c r="C16" s="7" t="s">
        <v>64</v>
      </c>
      <c r="D16" s="8">
        <v>5112</v>
      </c>
      <c r="E16" s="8">
        <v>4699</v>
      </c>
      <c r="F16" s="8">
        <v>4857</v>
      </c>
      <c r="G16" s="8">
        <v>4846</v>
      </c>
      <c r="H16" s="8">
        <v>4958</v>
      </c>
      <c r="I16" s="8">
        <v>5033</v>
      </c>
      <c r="J16" s="8">
        <v>29505</v>
      </c>
      <c r="K16" t="s">
        <v>45</v>
      </c>
      <c r="L16" t="s">
        <v>74</v>
      </c>
    </row>
    <row r="17" spans="3:12">
      <c r="C17" s="7" t="s">
        <v>65</v>
      </c>
      <c r="D17" s="8">
        <v>4467</v>
      </c>
      <c r="E17" s="8">
        <v>4356</v>
      </c>
      <c r="F17" s="8">
        <v>4461</v>
      </c>
      <c r="G17" s="8">
        <v>4581</v>
      </c>
      <c r="H17" s="8">
        <v>4602</v>
      </c>
      <c r="I17" s="8">
        <v>4586</v>
      </c>
      <c r="J17" s="8">
        <v>27053</v>
      </c>
      <c r="K17" t="s">
        <v>45</v>
      </c>
      <c r="L17" t="s">
        <v>74</v>
      </c>
    </row>
    <row r="18" spans="3:12">
      <c r="C18" s="7" t="s">
        <v>66</v>
      </c>
      <c r="D18" s="8">
        <v>13664</v>
      </c>
      <c r="E18" s="8">
        <v>12905</v>
      </c>
      <c r="F18" s="8">
        <v>13397</v>
      </c>
      <c r="G18" s="8">
        <v>14099</v>
      </c>
      <c r="H18" s="8">
        <v>14346</v>
      </c>
      <c r="I18" s="8">
        <v>14406</v>
      </c>
      <c r="J18" s="8">
        <v>82817</v>
      </c>
      <c r="K18" t="s">
        <v>45</v>
      </c>
      <c r="L18" t="s">
        <v>74</v>
      </c>
    </row>
    <row r="19" spans="3:12">
      <c r="C19" s="7" t="s">
        <v>67</v>
      </c>
      <c r="D19" s="8">
        <v>5698</v>
      </c>
      <c r="E19" s="8">
        <v>5256</v>
      </c>
      <c r="F19" s="8">
        <v>5475</v>
      </c>
      <c r="G19" s="8">
        <v>5662</v>
      </c>
      <c r="H19" s="8">
        <v>5600</v>
      </c>
      <c r="I19" s="8">
        <v>5360</v>
      </c>
      <c r="J19" s="8">
        <v>33051</v>
      </c>
      <c r="K19" t="s">
        <v>45</v>
      </c>
      <c r="L19" t="s">
        <v>74</v>
      </c>
    </row>
    <row r="20" spans="3:12">
      <c r="C20" s="7" t="s">
        <v>68</v>
      </c>
      <c r="D20" s="8">
        <v>5897</v>
      </c>
      <c r="E20" s="8">
        <v>5914</v>
      </c>
      <c r="F20" s="8">
        <v>6099</v>
      </c>
      <c r="G20" s="8">
        <v>6449</v>
      </c>
      <c r="H20" s="8">
        <v>6333</v>
      </c>
      <c r="I20" s="8">
        <v>6210</v>
      </c>
      <c r="J20" s="8">
        <v>36902</v>
      </c>
      <c r="K20" t="s">
        <v>45</v>
      </c>
      <c r="L20" t="s">
        <v>74</v>
      </c>
    </row>
    <row r="21" spans="3:12">
      <c r="C21" s="7" t="s">
        <v>69</v>
      </c>
      <c r="D21" s="8">
        <v>8728</v>
      </c>
      <c r="E21" s="8">
        <v>7885</v>
      </c>
      <c r="F21" s="8">
        <v>7932</v>
      </c>
      <c r="G21" s="8">
        <v>7802</v>
      </c>
      <c r="H21" s="8">
        <v>8095</v>
      </c>
      <c r="I21" s="8">
        <v>7881</v>
      </c>
      <c r="J21" s="8">
        <v>48323</v>
      </c>
      <c r="K21" t="s">
        <v>45</v>
      </c>
      <c r="L21" t="s">
        <v>74</v>
      </c>
    </row>
    <row r="22" spans="3:12">
      <c r="C22" s="7" t="s">
        <v>70</v>
      </c>
      <c r="D22" s="8">
        <v>5659</v>
      </c>
      <c r="E22" s="8">
        <v>5469</v>
      </c>
      <c r="F22" s="8">
        <v>5543</v>
      </c>
      <c r="G22" s="8">
        <v>5552</v>
      </c>
      <c r="H22" s="8">
        <v>5296</v>
      </c>
      <c r="I22" s="8">
        <v>5502</v>
      </c>
      <c r="J22" s="8">
        <v>33021</v>
      </c>
      <c r="K22" t="s">
        <v>45</v>
      </c>
      <c r="L22" t="s">
        <v>74</v>
      </c>
    </row>
    <row r="23" spans="3:12">
      <c r="C23" s="7" t="s">
        <v>71</v>
      </c>
      <c r="D23" s="8">
        <v>3555</v>
      </c>
      <c r="E23" s="8">
        <v>3217</v>
      </c>
      <c r="F23" s="8">
        <v>3309</v>
      </c>
      <c r="G23" s="8">
        <v>3303</v>
      </c>
      <c r="H23" s="8">
        <v>3473</v>
      </c>
      <c r="I23" s="8">
        <v>3469</v>
      </c>
      <c r="J23" s="8">
        <v>20326</v>
      </c>
      <c r="K23" t="s">
        <v>45</v>
      </c>
      <c r="L23" t="s">
        <v>74</v>
      </c>
    </row>
    <row r="24" spans="3:12">
      <c r="C24" s="7" t="s">
        <v>50</v>
      </c>
      <c r="D24" s="8">
        <v>12757</v>
      </c>
      <c r="E24" s="8">
        <v>11992</v>
      </c>
      <c r="F24" s="8">
        <v>12766</v>
      </c>
      <c r="G24" s="8">
        <v>14120</v>
      </c>
      <c r="H24" s="8">
        <v>13966</v>
      </c>
      <c r="I24" s="8">
        <v>13760</v>
      </c>
      <c r="J24" s="8">
        <v>79361</v>
      </c>
      <c r="K24" t="s">
        <v>75</v>
      </c>
      <c r="L24" t="s">
        <v>74</v>
      </c>
    </row>
    <row r="25" spans="3:12">
      <c r="C25" s="7" t="s">
        <v>51</v>
      </c>
      <c r="D25" s="8">
        <v>4085</v>
      </c>
      <c r="E25" s="8">
        <v>3948</v>
      </c>
      <c r="F25" s="8">
        <v>4156</v>
      </c>
      <c r="G25" s="8">
        <v>4077</v>
      </c>
      <c r="H25" s="8">
        <v>4110</v>
      </c>
      <c r="I25" s="8">
        <v>4210</v>
      </c>
      <c r="J25" s="8">
        <v>24586</v>
      </c>
      <c r="K25" t="s">
        <v>75</v>
      </c>
      <c r="L25" t="s">
        <v>74</v>
      </c>
    </row>
    <row r="26" spans="3:12">
      <c r="C26" s="7" t="s">
        <v>52</v>
      </c>
      <c r="D26" s="8">
        <v>7226</v>
      </c>
      <c r="E26" s="8">
        <v>7214</v>
      </c>
      <c r="F26" s="8">
        <v>7382</v>
      </c>
      <c r="G26" s="8">
        <v>7783</v>
      </c>
      <c r="H26" s="8">
        <v>8053</v>
      </c>
      <c r="I26" s="8">
        <v>8053</v>
      </c>
      <c r="J26" s="8">
        <v>45711</v>
      </c>
      <c r="K26" t="s">
        <v>75</v>
      </c>
      <c r="L26" t="s">
        <v>74</v>
      </c>
    </row>
    <row r="27" spans="3:12">
      <c r="C27" s="7" t="s">
        <v>53</v>
      </c>
      <c r="D27" s="8">
        <v>5629</v>
      </c>
      <c r="E27" s="8">
        <v>5333</v>
      </c>
      <c r="F27" s="8">
        <v>5378</v>
      </c>
      <c r="G27" s="8">
        <v>5518</v>
      </c>
      <c r="H27" s="8">
        <v>5832</v>
      </c>
      <c r="I27" s="8">
        <v>5659</v>
      </c>
      <c r="J27" s="8">
        <v>33349</v>
      </c>
      <c r="K27" t="s">
        <v>75</v>
      </c>
      <c r="L27" t="s">
        <v>74</v>
      </c>
    </row>
    <row r="28" spans="3:12">
      <c r="C28" s="7" t="s">
        <v>54</v>
      </c>
      <c r="D28" s="8">
        <v>2169</v>
      </c>
      <c r="E28" s="8">
        <v>2301</v>
      </c>
      <c r="F28" s="8">
        <v>2498</v>
      </c>
      <c r="G28" s="8">
        <v>2719</v>
      </c>
      <c r="H28" s="8">
        <v>2896</v>
      </c>
      <c r="I28" s="8">
        <v>2836</v>
      </c>
      <c r="J28" s="8">
        <v>15419</v>
      </c>
      <c r="K28" t="s">
        <v>75</v>
      </c>
      <c r="L28" t="s">
        <v>74</v>
      </c>
    </row>
    <row r="29" spans="3:12">
      <c r="C29" s="7" t="s">
        <v>55</v>
      </c>
      <c r="D29" s="8">
        <v>9979</v>
      </c>
      <c r="E29" s="8">
        <v>10429</v>
      </c>
      <c r="F29" s="8">
        <v>10335</v>
      </c>
      <c r="G29" s="8">
        <v>10377</v>
      </c>
      <c r="H29" s="8">
        <v>11108</v>
      </c>
      <c r="I29" s="8">
        <v>10786</v>
      </c>
      <c r="J29" s="8">
        <v>63014</v>
      </c>
      <c r="K29" t="s">
        <v>75</v>
      </c>
      <c r="L29" t="s">
        <v>74</v>
      </c>
    </row>
    <row r="30" spans="3:12">
      <c r="C30" s="7" t="s">
        <v>56</v>
      </c>
      <c r="D30" s="8">
        <v>44362</v>
      </c>
      <c r="E30" s="8">
        <v>45029</v>
      </c>
      <c r="F30" s="8">
        <v>45757</v>
      </c>
      <c r="G30" s="8">
        <v>46728</v>
      </c>
      <c r="H30" s="8">
        <v>47418</v>
      </c>
      <c r="I30" s="8">
        <v>46641</v>
      </c>
      <c r="J30" s="8">
        <v>275935</v>
      </c>
      <c r="K30" t="s">
        <v>75</v>
      </c>
      <c r="L30" t="s">
        <v>74</v>
      </c>
    </row>
    <row r="31" spans="3:12">
      <c r="C31" s="7" t="s">
        <v>57</v>
      </c>
      <c r="D31" s="8">
        <v>12787</v>
      </c>
      <c r="E31" s="8">
        <v>12063</v>
      </c>
      <c r="F31" s="8">
        <v>12843</v>
      </c>
      <c r="G31" s="8">
        <v>13315</v>
      </c>
      <c r="H31" s="8">
        <v>13305</v>
      </c>
      <c r="I31" s="8">
        <v>13545</v>
      </c>
      <c r="J31" s="8">
        <v>77858</v>
      </c>
      <c r="K31" t="s">
        <v>75</v>
      </c>
      <c r="L31" t="s">
        <v>74</v>
      </c>
    </row>
    <row r="32" spans="3:12">
      <c r="C32" s="7" t="s">
        <v>58</v>
      </c>
      <c r="D32" s="8">
        <v>5729</v>
      </c>
      <c r="E32" s="8">
        <v>5321</v>
      </c>
      <c r="F32" s="8">
        <v>5384</v>
      </c>
      <c r="G32" s="8">
        <v>5665</v>
      </c>
      <c r="H32" s="8">
        <v>5862</v>
      </c>
      <c r="I32" s="8">
        <v>5771</v>
      </c>
      <c r="J32" s="8">
        <v>33732</v>
      </c>
      <c r="K32" t="s">
        <v>75</v>
      </c>
      <c r="L32" t="s">
        <v>74</v>
      </c>
    </row>
    <row r="33" spans="3:12">
      <c r="C33" s="7" t="s">
        <v>59</v>
      </c>
      <c r="D33" s="8">
        <v>4903</v>
      </c>
      <c r="E33" s="8">
        <v>4789</v>
      </c>
      <c r="F33" s="8">
        <v>4613</v>
      </c>
      <c r="G33" s="8">
        <v>4796</v>
      </c>
      <c r="H33" s="8">
        <v>4927</v>
      </c>
      <c r="I33" s="8">
        <v>4741</v>
      </c>
      <c r="J33" s="8">
        <v>28769</v>
      </c>
      <c r="K33" t="s">
        <v>75</v>
      </c>
      <c r="L33" t="s">
        <v>74</v>
      </c>
    </row>
    <row r="34" spans="3:12">
      <c r="C34" s="7" t="s">
        <v>60</v>
      </c>
      <c r="D34" s="8">
        <v>7414</v>
      </c>
      <c r="E34" s="8">
        <v>7079</v>
      </c>
      <c r="F34" s="8">
        <v>7260</v>
      </c>
      <c r="G34" s="8">
        <v>7510</v>
      </c>
      <c r="H34" s="8">
        <v>7575</v>
      </c>
      <c r="I34" s="8">
        <v>7623</v>
      </c>
      <c r="J34" s="8">
        <v>44461</v>
      </c>
      <c r="K34" t="s">
        <v>75</v>
      </c>
      <c r="L34" t="s">
        <v>74</v>
      </c>
    </row>
    <row r="35" spans="3:12">
      <c r="C35" s="7" t="s">
        <v>61</v>
      </c>
      <c r="D35" s="8">
        <v>7314</v>
      </c>
      <c r="E35" s="8">
        <v>7520</v>
      </c>
      <c r="F35" s="8">
        <v>8151</v>
      </c>
      <c r="G35" s="8">
        <v>8742</v>
      </c>
      <c r="H35" s="8">
        <v>9305</v>
      </c>
      <c r="I35" s="8">
        <v>9217</v>
      </c>
      <c r="J35" s="8">
        <v>50249</v>
      </c>
      <c r="K35" t="s">
        <v>75</v>
      </c>
      <c r="L35" t="s">
        <v>74</v>
      </c>
    </row>
    <row r="36" spans="3:12">
      <c r="C36" s="7" t="s">
        <v>62</v>
      </c>
      <c r="D36" s="8">
        <v>9940</v>
      </c>
      <c r="E36" s="8">
        <v>10038</v>
      </c>
      <c r="F36" s="8">
        <v>10987</v>
      </c>
      <c r="G36" s="8">
        <v>11207</v>
      </c>
      <c r="H36" s="8">
        <v>11346</v>
      </c>
      <c r="I36" s="8">
        <v>11499</v>
      </c>
      <c r="J36" s="8">
        <v>65017</v>
      </c>
      <c r="K36" t="s">
        <v>75</v>
      </c>
      <c r="L36" t="s">
        <v>74</v>
      </c>
    </row>
    <row r="37" spans="3:12">
      <c r="C37" s="7" t="s">
        <v>63</v>
      </c>
      <c r="D37" s="8">
        <v>10597</v>
      </c>
      <c r="E37" s="8">
        <v>10166</v>
      </c>
      <c r="F37" s="8">
        <v>10379</v>
      </c>
      <c r="G37" s="8">
        <v>11083</v>
      </c>
      <c r="H37" s="8">
        <v>11667</v>
      </c>
      <c r="I37" s="8">
        <v>11306</v>
      </c>
      <c r="J37" s="8">
        <v>65198</v>
      </c>
      <c r="K37" t="s">
        <v>75</v>
      </c>
      <c r="L37" t="s">
        <v>74</v>
      </c>
    </row>
    <row r="38" spans="3:12">
      <c r="C38" s="7" t="s">
        <v>64</v>
      </c>
      <c r="D38" s="8">
        <v>5185</v>
      </c>
      <c r="E38" s="8">
        <v>4936</v>
      </c>
      <c r="F38" s="8">
        <v>5110</v>
      </c>
      <c r="G38" s="8">
        <v>5065</v>
      </c>
      <c r="H38" s="8">
        <v>5180</v>
      </c>
      <c r="I38" s="8">
        <v>5019</v>
      </c>
      <c r="J38" s="8">
        <v>30495</v>
      </c>
      <c r="K38" t="s">
        <v>75</v>
      </c>
      <c r="L38" t="s">
        <v>74</v>
      </c>
    </row>
    <row r="39" spans="3:12">
      <c r="C39" s="7" t="s">
        <v>65</v>
      </c>
      <c r="D39" s="8">
        <v>4402</v>
      </c>
      <c r="E39" s="8">
        <v>4443</v>
      </c>
      <c r="F39" s="8">
        <v>4513</v>
      </c>
      <c r="G39" s="8">
        <v>4781</v>
      </c>
      <c r="H39" s="8">
        <v>4973</v>
      </c>
      <c r="I39" s="8">
        <v>4885</v>
      </c>
      <c r="J39" s="8">
        <v>27997</v>
      </c>
      <c r="K39" t="s">
        <v>75</v>
      </c>
      <c r="L39" t="s">
        <v>74</v>
      </c>
    </row>
    <row r="40" spans="3:12">
      <c r="C40" s="7" t="s">
        <v>66</v>
      </c>
      <c r="D40" s="8">
        <v>13431</v>
      </c>
      <c r="E40" s="8">
        <v>13196</v>
      </c>
      <c r="F40" s="8">
        <v>13777</v>
      </c>
      <c r="G40" s="8">
        <v>14480</v>
      </c>
      <c r="H40" s="8">
        <v>14779</v>
      </c>
      <c r="I40" s="8">
        <v>14455</v>
      </c>
      <c r="J40" s="8">
        <v>84118</v>
      </c>
      <c r="K40" t="s">
        <v>75</v>
      </c>
      <c r="L40" t="s">
        <v>74</v>
      </c>
    </row>
    <row r="41" spans="3:12">
      <c r="C41" s="7" t="s">
        <v>67</v>
      </c>
      <c r="D41" s="8">
        <v>5632</v>
      </c>
      <c r="E41" s="8">
        <v>5480</v>
      </c>
      <c r="F41" s="8">
        <v>5769</v>
      </c>
      <c r="G41" s="8">
        <v>5717</v>
      </c>
      <c r="H41" s="8">
        <v>5765</v>
      </c>
      <c r="I41" s="8">
        <v>5631</v>
      </c>
      <c r="J41" s="8">
        <v>33994</v>
      </c>
      <c r="K41" t="s">
        <v>75</v>
      </c>
      <c r="L41" t="s">
        <v>74</v>
      </c>
    </row>
    <row r="42" spans="3:12">
      <c r="C42" s="7" t="s">
        <v>68</v>
      </c>
      <c r="D42" s="8">
        <v>5821</v>
      </c>
      <c r="E42" s="8">
        <v>6060</v>
      </c>
      <c r="F42" s="8">
        <v>6353</v>
      </c>
      <c r="G42" s="8">
        <v>6687</v>
      </c>
      <c r="H42" s="8">
        <v>6475</v>
      </c>
      <c r="I42" s="8">
        <v>6505</v>
      </c>
      <c r="J42" s="8">
        <v>37901</v>
      </c>
      <c r="K42" t="s">
        <v>75</v>
      </c>
      <c r="L42" t="s">
        <v>74</v>
      </c>
    </row>
    <row r="43" spans="3:12">
      <c r="C43" s="7" t="s">
        <v>69</v>
      </c>
      <c r="D43" s="8">
        <v>8399</v>
      </c>
      <c r="E43" s="8">
        <v>8230</v>
      </c>
      <c r="F43" s="8">
        <v>8285</v>
      </c>
      <c r="G43" s="8">
        <v>8041</v>
      </c>
      <c r="H43" s="8">
        <v>8530</v>
      </c>
      <c r="I43" s="8">
        <v>8463</v>
      </c>
      <c r="J43" s="8">
        <v>49948</v>
      </c>
      <c r="K43" t="s">
        <v>75</v>
      </c>
      <c r="L43" t="s">
        <v>74</v>
      </c>
    </row>
    <row r="44" spans="3:12">
      <c r="C44" s="7" t="s">
        <v>70</v>
      </c>
      <c r="D44" s="8">
        <v>5313</v>
      </c>
      <c r="E44" s="8">
        <v>5417</v>
      </c>
      <c r="F44" s="8">
        <v>5587</v>
      </c>
      <c r="G44" s="8">
        <v>5597</v>
      </c>
      <c r="H44" s="8">
        <v>5592</v>
      </c>
      <c r="I44" s="8">
        <v>5383</v>
      </c>
      <c r="J44" s="8">
        <v>32889</v>
      </c>
      <c r="K44" t="s">
        <v>75</v>
      </c>
      <c r="L44" t="s">
        <v>74</v>
      </c>
    </row>
    <row r="45" spans="3:12">
      <c r="C45" s="7" t="s">
        <v>71</v>
      </c>
      <c r="D45" s="8">
        <v>3396</v>
      </c>
      <c r="E45" s="8">
        <v>3309</v>
      </c>
      <c r="F45" s="8">
        <v>3494</v>
      </c>
      <c r="G45" s="8">
        <v>3528</v>
      </c>
      <c r="H45" s="8">
        <v>3774</v>
      </c>
      <c r="I45" s="8">
        <v>3663</v>
      </c>
      <c r="J45" s="8">
        <v>21164</v>
      </c>
      <c r="K45" t="s">
        <v>75</v>
      </c>
      <c r="L45" t="s">
        <v>74</v>
      </c>
    </row>
    <row r="46" spans="3:12">
      <c r="C46" s="7" t="s">
        <v>50</v>
      </c>
      <c r="D46" s="8">
        <v>34727</v>
      </c>
      <c r="E46" s="8">
        <v>35196</v>
      </c>
      <c r="F46" s="8">
        <v>35671</v>
      </c>
      <c r="G46" s="8">
        <v>36194</v>
      </c>
      <c r="H46" s="8">
        <v>36899</v>
      </c>
      <c r="I46" s="8">
        <v>37644</v>
      </c>
      <c r="J46" s="8">
        <v>216331</v>
      </c>
      <c r="K46" t="s">
        <v>45</v>
      </c>
      <c r="L46" t="s">
        <v>76</v>
      </c>
    </row>
    <row r="47" spans="3:12">
      <c r="C47" s="7" t="s">
        <v>51</v>
      </c>
      <c r="D47" s="8">
        <v>8105</v>
      </c>
      <c r="E47" s="8">
        <v>8162</v>
      </c>
      <c r="F47" s="8">
        <v>8219</v>
      </c>
      <c r="G47" s="8">
        <v>8534</v>
      </c>
      <c r="H47" s="8">
        <v>8694</v>
      </c>
      <c r="I47" s="8">
        <v>8843</v>
      </c>
      <c r="J47" s="8">
        <v>50557</v>
      </c>
      <c r="K47" t="s">
        <v>45</v>
      </c>
      <c r="L47" t="s">
        <v>76</v>
      </c>
    </row>
    <row r="48" spans="3:12">
      <c r="C48" s="7" t="s">
        <v>52</v>
      </c>
      <c r="D48" s="8">
        <v>19032</v>
      </c>
      <c r="E48" s="8">
        <v>19509</v>
      </c>
      <c r="F48" s="8">
        <v>20000</v>
      </c>
      <c r="G48" s="8">
        <v>19837</v>
      </c>
      <c r="H48" s="8">
        <v>20075</v>
      </c>
      <c r="I48" s="8">
        <v>20310</v>
      </c>
      <c r="J48" s="8">
        <v>118763</v>
      </c>
      <c r="K48" t="s">
        <v>45</v>
      </c>
      <c r="L48" t="s">
        <v>76</v>
      </c>
    </row>
    <row r="49" spans="3:12">
      <c r="C49" s="7" t="s">
        <v>53</v>
      </c>
      <c r="D49" s="8">
        <v>11105</v>
      </c>
      <c r="E49" s="8">
        <v>11233</v>
      </c>
      <c r="F49" s="8">
        <v>11362</v>
      </c>
      <c r="G49" s="8">
        <v>11287</v>
      </c>
      <c r="H49" s="8">
        <v>11389</v>
      </c>
      <c r="I49" s="8">
        <v>11482</v>
      </c>
      <c r="J49" s="8">
        <v>67858</v>
      </c>
      <c r="K49" t="s">
        <v>45</v>
      </c>
      <c r="L49" t="s">
        <v>76</v>
      </c>
    </row>
    <row r="50" spans="3:12">
      <c r="C50" s="7" t="s">
        <v>54</v>
      </c>
      <c r="D50" s="8">
        <v>4152</v>
      </c>
      <c r="E50" s="8">
        <v>4168</v>
      </c>
      <c r="F50" s="8">
        <v>4184</v>
      </c>
      <c r="G50" s="8">
        <v>4167</v>
      </c>
      <c r="H50" s="8">
        <v>4197</v>
      </c>
      <c r="I50" s="8">
        <v>4213</v>
      </c>
      <c r="J50" s="8">
        <v>25081</v>
      </c>
      <c r="K50" t="s">
        <v>45</v>
      </c>
      <c r="L50" t="s">
        <v>76</v>
      </c>
    </row>
    <row r="51" spans="3:12">
      <c r="C51" s="7" t="s">
        <v>55</v>
      </c>
      <c r="D51" s="8">
        <v>17029</v>
      </c>
      <c r="E51" s="8">
        <v>17131</v>
      </c>
      <c r="F51" s="8">
        <v>17233</v>
      </c>
      <c r="G51" s="8">
        <v>17809</v>
      </c>
      <c r="H51" s="8">
        <v>18049</v>
      </c>
      <c r="I51" s="8">
        <v>18213</v>
      </c>
      <c r="J51" s="8">
        <v>105464</v>
      </c>
      <c r="K51" t="s">
        <v>45</v>
      </c>
      <c r="L51" t="s">
        <v>76</v>
      </c>
    </row>
    <row r="52" spans="3:12">
      <c r="C52" s="7" t="s">
        <v>56</v>
      </c>
      <c r="D52" s="8">
        <v>68510</v>
      </c>
      <c r="E52" s="8">
        <v>68385</v>
      </c>
      <c r="F52" s="8">
        <v>68268</v>
      </c>
      <c r="G52" s="8">
        <v>66269</v>
      </c>
      <c r="H52" s="8">
        <v>66052</v>
      </c>
      <c r="I52" s="8">
        <v>65716</v>
      </c>
      <c r="J52" s="8">
        <v>403200</v>
      </c>
      <c r="K52" t="s">
        <v>45</v>
      </c>
      <c r="L52" t="s">
        <v>76</v>
      </c>
    </row>
    <row r="53" spans="3:12">
      <c r="C53" s="7" t="s">
        <v>57</v>
      </c>
      <c r="D53" s="8">
        <v>34975</v>
      </c>
      <c r="E53" s="8">
        <v>35485</v>
      </c>
      <c r="F53" s="8">
        <v>36004</v>
      </c>
      <c r="G53" s="8">
        <v>35307</v>
      </c>
      <c r="H53" s="8">
        <v>35622</v>
      </c>
      <c r="I53" s="8">
        <v>35715</v>
      </c>
      <c r="J53" s="8">
        <v>213108</v>
      </c>
      <c r="K53" t="s">
        <v>45</v>
      </c>
      <c r="L53" t="s">
        <v>76</v>
      </c>
    </row>
    <row r="54" spans="3:12">
      <c r="C54" s="7" t="s">
        <v>58</v>
      </c>
      <c r="D54" s="8">
        <v>11606</v>
      </c>
      <c r="E54" s="8">
        <v>11698</v>
      </c>
      <c r="F54" s="8">
        <v>11792</v>
      </c>
      <c r="G54" s="8">
        <v>12138</v>
      </c>
      <c r="H54" s="8">
        <v>12328</v>
      </c>
      <c r="I54" s="8">
        <v>12497</v>
      </c>
      <c r="J54" s="8">
        <v>72059</v>
      </c>
      <c r="K54" t="s">
        <v>45</v>
      </c>
      <c r="L54" t="s">
        <v>76</v>
      </c>
    </row>
    <row r="55" spans="3:12">
      <c r="C55" s="7" t="s">
        <v>59</v>
      </c>
      <c r="D55" s="8">
        <v>10226</v>
      </c>
      <c r="E55" s="8">
        <v>10452</v>
      </c>
      <c r="F55" s="8">
        <v>10681</v>
      </c>
      <c r="G55" s="8">
        <v>10637</v>
      </c>
      <c r="H55" s="8">
        <v>10772</v>
      </c>
      <c r="I55" s="8">
        <v>10905</v>
      </c>
      <c r="J55" s="8">
        <v>63673</v>
      </c>
      <c r="K55" t="s">
        <v>45</v>
      </c>
      <c r="L55" t="s">
        <v>76</v>
      </c>
    </row>
    <row r="56" spans="3:12">
      <c r="C56" s="7" t="s">
        <v>60</v>
      </c>
      <c r="D56" s="8">
        <v>13202</v>
      </c>
      <c r="E56" s="8">
        <v>13453</v>
      </c>
      <c r="F56" s="8">
        <v>13710</v>
      </c>
      <c r="G56" s="8">
        <v>13208</v>
      </c>
      <c r="H56" s="8">
        <v>13269</v>
      </c>
      <c r="I56" s="8">
        <v>13329</v>
      </c>
      <c r="J56" s="8">
        <v>80171</v>
      </c>
      <c r="K56" t="s">
        <v>45</v>
      </c>
      <c r="L56" t="s">
        <v>76</v>
      </c>
    </row>
    <row r="57" spans="3:12">
      <c r="C57" s="7" t="s">
        <v>61</v>
      </c>
      <c r="D57" s="8">
        <v>20003</v>
      </c>
      <c r="E57" s="8">
        <v>20915</v>
      </c>
      <c r="F57" s="8">
        <v>21866</v>
      </c>
      <c r="G57" s="8">
        <v>22304</v>
      </c>
      <c r="H57" s="8">
        <v>22790</v>
      </c>
      <c r="I57" s="8">
        <v>23228</v>
      </c>
      <c r="J57" s="8">
        <v>131106</v>
      </c>
      <c r="K57" t="s">
        <v>45</v>
      </c>
      <c r="L57" t="s">
        <v>76</v>
      </c>
    </row>
    <row r="58" spans="3:12">
      <c r="C58" s="7" t="s">
        <v>62</v>
      </c>
      <c r="D58" s="8">
        <v>21997</v>
      </c>
      <c r="E58" s="8">
        <v>22406</v>
      </c>
      <c r="F58" s="8">
        <v>22823</v>
      </c>
      <c r="G58" s="8">
        <v>22779</v>
      </c>
      <c r="H58" s="8">
        <v>22988</v>
      </c>
      <c r="I58" s="8">
        <v>23144</v>
      </c>
      <c r="J58" s="8">
        <v>136137</v>
      </c>
      <c r="K58" t="s">
        <v>45</v>
      </c>
      <c r="L58" t="s">
        <v>76</v>
      </c>
    </row>
    <row r="59" spans="3:12">
      <c r="C59" s="7" t="s">
        <v>63</v>
      </c>
      <c r="D59" s="8">
        <v>32430</v>
      </c>
      <c r="E59" s="8">
        <v>33479</v>
      </c>
      <c r="F59" s="8">
        <v>34560</v>
      </c>
      <c r="G59" s="8">
        <v>34707</v>
      </c>
      <c r="H59" s="8">
        <v>35354</v>
      </c>
      <c r="I59" s="8">
        <v>35990</v>
      </c>
      <c r="J59" s="8">
        <v>206520</v>
      </c>
      <c r="K59" t="s">
        <v>45</v>
      </c>
      <c r="L59" t="s">
        <v>76</v>
      </c>
    </row>
    <row r="60" spans="3:12">
      <c r="C60" s="7" t="s">
        <v>64</v>
      </c>
      <c r="D60" s="8">
        <v>8140</v>
      </c>
      <c r="E60" s="8">
        <v>8248</v>
      </c>
      <c r="F60" s="8">
        <v>8356</v>
      </c>
      <c r="G60" s="8">
        <v>8609</v>
      </c>
      <c r="H60" s="8">
        <v>8743</v>
      </c>
      <c r="I60" s="8">
        <v>8848</v>
      </c>
      <c r="J60" s="8">
        <v>50944</v>
      </c>
      <c r="K60" t="s">
        <v>45</v>
      </c>
      <c r="L60" t="s">
        <v>76</v>
      </c>
    </row>
    <row r="61" spans="3:12">
      <c r="C61" s="7" t="s">
        <v>65</v>
      </c>
      <c r="D61" s="8">
        <v>8050</v>
      </c>
      <c r="E61" s="8">
        <v>8098</v>
      </c>
      <c r="F61" s="8">
        <v>8146</v>
      </c>
      <c r="G61" s="8">
        <v>8149</v>
      </c>
      <c r="H61" s="8">
        <v>8219</v>
      </c>
      <c r="I61" s="8">
        <v>8261</v>
      </c>
      <c r="J61" s="8">
        <v>48923</v>
      </c>
      <c r="K61" t="s">
        <v>45</v>
      </c>
      <c r="L61" t="s">
        <v>76</v>
      </c>
    </row>
    <row r="62" spans="3:12">
      <c r="C62" s="7" t="s">
        <v>66</v>
      </c>
      <c r="D62" s="8">
        <v>29265</v>
      </c>
      <c r="E62" s="8">
        <v>29541</v>
      </c>
      <c r="F62" s="8">
        <v>29817</v>
      </c>
      <c r="G62" s="8">
        <v>29702</v>
      </c>
      <c r="H62" s="8">
        <v>30012</v>
      </c>
      <c r="I62" s="8">
        <v>30323</v>
      </c>
      <c r="J62" s="8">
        <v>178660</v>
      </c>
      <c r="K62" t="s">
        <v>45</v>
      </c>
      <c r="L62" t="s">
        <v>76</v>
      </c>
    </row>
    <row r="63" spans="3:12">
      <c r="C63" s="7" t="s">
        <v>67</v>
      </c>
      <c r="D63" s="8">
        <v>9566</v>
      </c>
      <c r="E63" s="8">
        <v>9620</v>
      </c>
      <c r="F63" s="8">
        <v>9674</v>
      </c>
      <c r="G63" s="8">
        <v>9779</v>
      </c>
      <c r="H63" s="8">
        <v>9894</v>
      </c>
      <c r="I63" s="8">
        <v>9996</v>
      </c>
      <c r="J63" s="8">
        <v>58529</v>
      </c>
      <c r="K63" t="s">
        <v>45</v>
      </c>
      <c r="L63" t="s">
        <v>76</v>
      </c>
    </row>
    <row r="64" spans="3:12">
      <c r="C64" s="7" t="s">
        <v>68</v>
      </c>
      <c r="D64" s="8">
        <v>14218</v>
      </c>
      <c r="E64" s="8">
        <v>14812</v>
      </c>
      <c r="F64" s="8">
        <v>15434</v>
      </c>
      <c r="G64" s="8">
        <v>14734</v>
      </c>
      <c r="H64" s="8">
        <v>14843</v>
      </c>
      <c r="I64" s="8">
        <v>14942</v>
      </c>
      <c r="J64" s="8">
        <v>88983</v>
      </c>
      <c r="K64" t="s">
        <v>45</v>
      </c>
      <c r="L64" t="s">
        <v>76</v>
      </c>
    </row>
    <row r="65" spans="3:12">
      <c r="C65" s="7" t="s">
        <v>69</v>
      </c>
      <c r="D65" s="8">
        <v>14517</v>
      </c>
      <c r="E65" s="8">
        <v>14692</v>
      </c>
      <c r="F65" s="8">
        <v>14870</v>
      </c>
      <c r="G65" s="8">
        <v>15244</v>
      </c>
      <c r="H65" s="8">
        <v>15488</v>
      </c>
      <c r="I65" s="8">
        <v>15703</v>
      </c>
      <c r="J65" s="8">
        <v>90514</v>
      </c>
      <c r="K65" t="s">
        <v>45</v>
      </c>
      <c r="L65" t="s">
        <v>76</v>
      </c>
    </row>
    <row r="66" spans="3:12">
      <c r="C66" s="7" t="s">
        <v>70</v>
      </c>
      <c r="D66" s="8">
        <v>16049</v>
      </c>
      <c r="E66" s="8">
        <v>16834</v>
      </c>
      <c r="F66" s="8">
        <v>17658</v>
      </c>
      <c r="G66" s="8">
        <v>16799</v>
      </c>
      <c r="H66" s="8">
        <v>16915</v>
      </c>
      <c r="I66" s="8">
        <v>17029</v>
      </c>
      <c r="J66" s="8">
        <v>101284</v>
      </c>
      <c r="K66" t="s">
        <v>45</v>
      </c>
      <c r="L66" t="s">
        <v>76</v>
      </c>
    </row>
    <row r="67" spans="3:12">
      <c r="C67" s="7" t="s">
        <v>71</v>
      </c>
      <c r="D67" s="8">
        <v>5707</v>
      </c>
      <c r="E67" s="8">
        <v>5638</v>
      </c>
      <c r="F67" s="8">
        <v>5569</v>
      </c>
      <c r="G67" s="8">
        <v>5717</v>
      </c>
      <c r="H67" s="8">
        <v>5791</v>
      </c>
      <c r="I67" s="8">
        <v>5842</v>
      </c>
      <c r="J67" s="8">
        <v>34264</v>
      </c>
      <c r="K67" t="s">
        <v>45</v>
      </c>
      <c r="L67" t="s">
        <v>76</v>
      </c>
    </row>
    <row r="68" spans="3:12">
      <c r="C68" s="7" t="s">
        <v>50</v>
      </c>
      <c r="D68" s="8">
        <v>35875</v>
      </c>
      <c r="E68" s="8">
        <v>36375</v>
      </c>
      <c r="F68" s="8">
        <v>36882</v>
      </c>
      <c r="G68" s="8">
        <v>37518</v>
      </c>
      <c r="H68" s="8">
        <v>38265</v>
      </c>
      <c r="I68" s="8">
        <v>39048</v>
      </c>
      <c r="J68" s="8">
        <v>223963</v>
      </c>
      <c r="K68" t="s">
        <v>75</v>
      </c>
      <c r="L68" t="s">
        <v>76</v>
      </c>
    </row>
    <row r="69" spans="3:12">
      <c r="C69" s="7" t="s">
        <v>51</v>
      </c>
      <c r="D69" s="8">
        <v>8315</v>
      </c>
      <c r="E69" s="8">
        <v>8416</v>
      </c>
      <c r="F69" s="8">
        <v>8517</v>
      </c>
      <c r="G69" s="8">
        <v>8810</v>
      </c>
      <c r="H69" s="8">
        <v>8973</v>
      </c>
      <c r="I69" s="8">
        <v>9125</v>
      </c>
      <c r="J69" s="8">
        <v>52156</v>
      </c>
      <c r="K69" t="s">
        <v>75</v>
      </c>
      <c r="L69" t="s">
        <v>76</v>
      </c>
    </row>
    <row r="70" spans="3:12">
      <c r="C70" s="7" t="s">
        <v>52</v>
      </c>
      <c r="D70" s="8">
        <v>19652</v>
      </c>
      <c r="E70" s="8">
        <v>20202</v>
      </c>
      <c r="F70" s="8">
        <v>20771</v>
      </c>
      <c r="G70" s="8">
        <v>20718</v>
      </c>
      <c r="H70" s="8">
        <v>20792</v>
      </c>
      <c r="I70" s="8">
        <v>21029</v>
      </c>
      <c r="J70" s="8">
        <v>123164</v>
      </c>
      <c r="K70" t="s">
        <v>75</v>
      </c>
      <c r="L70" t="s">
        <v>76</v>
      </c>
    </row>
    <row r="71" spans="3:12">
      <c r="C71" s="7" t="s">
        <v>53</v>
      </c>
      <c r="D71" s="8">
        <v>11337</v>
      </c>
      <c r="E71" s="8">
        <v>11459</v>
      </c>
      <c r="F71" s="8">
        <v>11585</v>
      </c>
      <c r="G71" s="8">
        <v>11639</v>
      </c>
      <c r="H71" s="8">
        <v>11766</v>
      </c>
      <c r="I71" s="8">
        <v>11878</v>
      </c>
      <c r="J71" s="8">
        <v>69664</v>
      </c>
      <c r="K71" t="s">
        <v>75</v>
      </c>
      <c r="L71" t="s">
        <v>76</v>
      </c>
    </row>
    <row r="72" spans="3:12">
      <c r="C72" s="7" t="s">
        <v>54</v>
      </c>
      <c r="D72" s="8">
        <v>4211</v>
      </c>
      <c r="E72" s="8">
        <v>4213</v>
      </c>
      <c r="F72" s="8">
        <v>4215</v>
      </c>
      <c r="G72" s="8">
        <v>4290</v>
      </c>
      <c r="H72" s="8">
        <v>4334</v>
      </c>
      <c r="I72" s="8">
        <v>4362</v>
      </c>
      <c r="J72" s="8">
        <v>25625</v>
      </c>
      <c r="K72" t="s">
        <v>75</v>
      </c>
      <c r="L72" t="s">
        <v>76</v>
      </c>
    </row>
    <row r="73" spans="3:12">
      <c r="C73" s="7" t="s">
        <v>55</v>
      </c>
      <c r="D73" s="8">
        <v>17625</v>
      </c>
      <c r="E73" s="8">
        <v>17689</v>
      </c>
      <c r="F73" s="8">
        <v>17753</v>
      </c>
      <c r="G73" s="8">
        <v>18492</v>
      </c>
      <c r="H73" s="8">
        <v>18759</v>
      </c>
      <c r="I73" s="8">
        <v>18946</v>
      </c>
      <c r="J73" s="8">
        <v>109264</v>
      </c>
      <c r="K73" t="s">
        <v>75</v>
      </c>
      <c r="L73" t="s">
        <v>76</v>
      </c>
    </row>
    <row r="74" spans="3:12">
      <c r="C74" s="7" t="s">
        <v>56</v>
      </c>
      <c r="D74" s="8">
        <v>71217</v>
      </c>
      <c r="E74" s="8">
        <v>71046</v>
      </c>
      <c r="F74" s="8">
        <v>70884</v>
      </c>
      <c r="G74" s="8">
        <v>68878</v>
      </c>
      <c r="H74" s="8">
        <v>68659</v>
      </c>
      <c r="I74" s="8">
        <v>68322</v>
      </c>
      <c r="J74" s="8">
        <v>419006</v>
      </c>
      <c r="K74" t="s">
        <v>75</v>
      </c>
      <c r="L74" t="s">
        <v>76</v>
      </c>
    </row>
    <row r="75" spans="3:12">
      <c r="C75" s="7" t="s">
        <v>57</v>
      </c>
      <c r="D75" s="8">
        <v>35726</v>
      </c>
      <c r="E75" s="8">
        <v>36438</v>
      </c>
      <c r="F75" s="8">
        <v>37166</v>
      </c>
      <c r="G75" s="8">
        <v>37181</v>
      </c>
      <c r="H75" s="8">
        <v>37690</v>
      </c>
      <c r="I75" s="8">
        <v>37905</v>
      </c>
      <c r="J75" s="8">
        <v>222106</v>
      </c>
      <c r="K75" t="s">
        <v>75</v>
      </c>
      <c r="L75" t="s">
        <v>76</v>
      </c>
    </row>
    <row r="76" spans="3:12">
      <c r="C76" s="7" t="s">
        <v>58</v>
      </c>
      <c r="D76" s="8">
        <v>11941</v>
      </c>
      <c r="E76" s="8">
        <v>12029</v>
      </c>
      <c r="F76" s="8">
        <v>12119</v>
      </c>
      <c r="G76" s="8">
        <v>12569</v>
      </c>
      <c r="H76" s="8">
        <v>12778</v>
      </c>
      <c r="I76" s="8">
        <v>12968</v>
      </c>
      <c r="J76" s="8">
        <v>74404</v>
      </c>
      <c r="K76" t="s">
        <v>75</v>
      </c>
      <c r="L76" t="s">
        <v>76</v>
      </c>
    </row>
    <row r="77" spans="3:12">
      <c r="C77" s="7" t="s">
        <v>59</v>
      </c>
      <c r="D77" s="8">
        <v>10498</v>
      </c>
      <c r="E77" s="8">
        <v>10771</v>
      </c>
      <c r="F77" s="8">
        <v>11054</v>
      </c>
      <c r="G77" s="8">
        <v>10991</v>
      </c>
      <c r="H77" s="8">
        <v>11131</v>
      </c>
      <c r="I77" s="8">
        <v>11270</v>
      </c>
      <c r="J77" s="8">
        <v>65715</v>
      </c>
      <c r="K77" t="s">
        <v>75</v>
      </c>
      <c r="L77" t="s">
        <v>76</v>
      </c>
    </row>
    <row r="78" spans="3:12">
      <c r="C78" s="7" t="s">
        <v>60</v>
      </c>
      <c r="D78" s="8">
        <v>13393</v>
      </c>
      <c r="E78" s="8">
        <v>13522</v>
      </c>
      <c r="F78" s="8">
        <v>13653</v>
      </c>
      <c r="G78" s="8">
        <v>13571</v>
      </c>
      <c r="H78" s="8">
        <v>13647</v>
      </c>
      <c r="I78" s="8">
        <v>13714</v>
      </c>
      <c r="J78" s="8">
        <v>81500</v>
      </c>
      <c r="K78" t="s">
        <v>75</v>
      </c>
      <c r="L78" t="s">
        <v>76</v>
      </c>
    </row>
    <row r="79" spans="3:12">
      <c r="C79" s="7" t="s">
        <v>61</v>
      </c>
      <c r="D79" s="8">
        <v>21011</v>
      </c>
      <c r="E79" s="8">
        <v>21939</v>
      </c>
      <c r="F79" s="8">
        <v>22909</v>
      </c>
      <c r="G79" s="8">
        <v>23214</v>
      </c>
      <c r="H79" s="8">
        <v>23754</v>
      </c>
      <c r="I79" s="8">
        <v>24196</v>
      </c>
      <c r="J79" s="8">
        <v>137023</v>
      </c>
      <c r="K79" t="s">
        <v>75</v>
      </c>
      <c r="L79" t="s">
        <v>76</v>
      </c>
    </row>
    <row r="80" spans="3:12">
      <c r="C80" s="7" t="s">
        <v>62</v>
      </c>
      <c r="D80" s="8">
        <v>22694</v>
      </c>
      <c r="E80" s="8">
        <v>23196</v>
      </c>
      <c r="F80" s="8">
        <v>23709</v>
      </c>
      <c r="G80" s="8">
        <v>23567</v>
      </c>
      <c r="H80" s="8">
        <v>23777</v>
      </c>
      <c r="I80" s="8">
        <v>23939</v>
      </c>
      <c r="J80" s="8">
        <v>140882</v>
      </c>
      <c r="K80" t="s">
        <v>75</v>
      </c>
      <c r="L80" t="s">
        <v>76</v>
      </c>
    </row>
    <row r="81" spans="3:12">
      <c r="C81" s="7" t="s">
        <v>63</v>
      </c>
      <c r="D81" s="8">
        <v>33463</v>
      </c>
      <c r="E81" s="8">
        <v>34632</v>
      </c>
      <c r="F81" s="8">
        <v>35847</v>
      </c>
      <c r="G81" s="8">
        <v>35947</v>
      </c>
      <c r="H81" s="8">
        <v>36608</v>
      </c>
      <c r="I81" s="8">
        <v>37267</v>
      </c>
      <c r="J81" s="8">
        <v>213764</v>
      </c>
      <c r="K81" t="s">
        <v>75</v>
      </c>
      <c r="L81" t="s">
        <v>76</v>
      </c>
    </row>
    <row r="82" spans="3:12">
      <c r="C82" s="7" t="s">
        <v>64</v>
      </c>
      <c r="D82" s="8">
        <v>8334</v>
      </c>
      <c r="E82" s="8">
        <v>8423</v>
      </c>
      <c r="F82" s="8">
        <v>8512</v>
      </c>
      <c r="G82" s="8">
        <v>8903</v>
      </c>
      <c r="H82" s="8">
        <v>9059</v>
      </c>
      <c r="I82" s="8">
        <v>9187</v>
      </c>
      <c r="J82" s="8">
        <v>52418</v>
      </c>
      <c r="K82" t="s">
        <v>75</v>
      </c>
      <c r="L82" t="s">
        <v>76</v>
      </c>
    </row>
    <row r="83" spans="3:12">
      <c r="C83" s="7" t="s">
        <v>65</v>
      </c>
      <c r="D83" s="8">
        <v>8339</v>
      </c>
      <c r="E83" s="8">
        <v>8409</v>
      </c>
      <c r="F83" s="8">
        <v>8481</v>
      </c>
      <c r="G83" s="8">
        <v>8956</v>
      </c>
      <c r="H83" s="8">
        <v>8519</v>
      </c>
      <c r="I83" s="8">
        <v>8558</v>
      </c>
      <c r="J83" s="8">
        <v>51262</v>
      </c>
      <c r="K83" t="s">
        <v>75</v>
      </c>
      <c r="L83" t="s">
        <v>76</v>
      </c>
    </row>
    <row r="84" spans="3:12">
      <c r="C84" s="7" t="s">
        <v>66</v>
      </c>
      <c r="D84" s="8">
        <v>30072</v>
      </c>
      <c r="E84" s="8">
        <v>30406</v>
      </c>
      <c r="F84" s="8">
        <v>30746</v>
      </c>
      <c r="G84" s="8">
        <v>30715</v>
      </c>
      <c r="H84" s="8">
        <v>31059</v>
      </c>
      <c r="I84" s="8">
        <v>31392</v>
      </c>
      <c r="J84" s="8">
        <v>184390</v>
      </c>
      <c r="K84" t="s">
        <v>75</v>
      </c>
      <c r="L84" t="s">
        <v>76</v>
      </c>
    </row>
    <row r="85" spans="3:12">
      <c r="C85" s="7" t="s">
        <v>67</v>
      </c>
      <c r="D85" s="8">
        <v>9731</v>
      </c>
      <c r="E85" s="8">
        <v>9763</v>
      </c>
      <c r="F85" s="8">
        <v>9795</v>
      </c>
      <c r="G85" s="8">
        <v>10062</v>
      </c>
      <c r="H85" s="8">
        <v>10203</v>
      </c>
      <c r="I85" s="8">
        <v>10321</v>
      </c>
      <c r="J85" s="8">
        <v>59875</v>
      </c>
      <c r="K85" t="s">
        <v>75</v>
      </c>
      <c r="L85" t="s">
        <v>76</v>
      </c>
    </row>
    <row r="86" spans="3:12">
      <c r="C86" s="7" t="s">
        <v>68</v>
      </c>
      <c r="D86" s="8">
        <v>14700</v>
      </c>
      <c r="E86" s="8">
        <v>15349</v>
      </c>
      <c r="F86" s="8">
        <v>16026</v>
      </c>
      <c r="G86" s="8">
        <v>15269</v>
      </c>
      <c r="H86" s="8">
        <v>15383</v>
      </c>
      <c r="I86" s="8">
        <v>15486</v>
      </c>
      <c r="J86" s="8">
        <v>92213</v>
      </c>
      <c r="K86" t="s">
        <v>75</v>
      </c>
      <c r="L86" t="s">
        <v>76</v>
      </c>
    </row>
    <row r="87" spans="3:12">
      <c r="C87" s="7" t="s">
        <v>69</v>
      </c>
      <c r="D87" s="8">
        <v>14896</v>
      </c>
      <c r="E87" s="8">
        <v>15077</v>
      </c>
      <c r="F87" s="8">
        <v>15261</v>
      </c>
      <c r="G87" s="8">
        <v>15760</v>
      </c>
      <c r="H87" s="8">
        <v>16035</v>
      </c>
      <c r="I87" s="8">
        <v>16274</v>
      </c>
      <c r="J87" s="8">
        <v>93303</v>
      </c>
      <c r="K87" t="s">
        <v>75</v>
      </c>
      <c r="L87" t="s">
        <v>76</v>
      </c>
    </row>
    <row r="88" spans="3:12">
      <c r="C88" s="7" t="s">
        <v>70</v>
      </c>
      <c r="D88" s="8">
        <v>16551</v>
      </c>
      <c r="E88" s="8">
        <v>17406</v>
      </c>
      <c r="F88" s="8">
        <v>18307</v>
      </c>
      <c r="G88" s="8">
        <v>17392</v>
      </c>
      <c r="H88" s="8">
        <v>17513</v>
      </c>
      <c r="I88" s="8">
        <v>17631</v>
      </c>
      <c r="J88" s="8">
        <v>104800</v>
      </c>
      <c r="K88" t="s">
        <v>75</v>
      </c>
      <c r="L88" t="s">
        <v>76</v>
      </c>
    </row>
    <row r="89" spans="3:12">
      <c r="C89" s="7" t="s">
        <v>71</v>
      </c>
      <c r="D89" s="8">
        <v>5746</v>
      </c>
      <c r="E89" s="8">
        <v>5657</v>
      </c>
      <c r="F89" s="8">
        <v>5568</v>
      </c>
      <c r="G89" s="8">
        <v>5878</v>
      </c>
      <c r="H89" s="8">
        <v>5964</v>
      </c>
      <c r="I89" s="8">
        <v>6034</v>
      </c>
      <c r="J89" s="8">
        <v>34847</v>
      </c>
      <c r="K89" t="s">
        <v>75</v>
      </c>
      <c r="L89" t="s">
        <v>76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31"/>
  <sheetViews>
    <sheetView showGridLines="0" workbookViewId="0">
      <selection activeCell="D15" sqref="D15"/>
    </sheetView>
  </sheetViews>
  <sheetFormatPr defaultColWidth="9" defaultRowHeight="15"/>
  <cols>
    <col min="1" max="2" width="15.5714285714286" customWidth="1"/>
    <col min="3" max="3" width="16.2857142857143" customWidth="1"/>
    <col min="4" max="8" width="9" customWidth="1"/>
    <col min="9" max="9" width="11.2857142857143" customWidth="1"/>
  </cols>
  <sheetData>
    <row r="2" ht="23.25" spans="2:2">
      <c r="B2" s="30" t="s">
        <v>77</v>
      </c>
    </row>
    <row r="3" ht="23.25" spans="2:3">
      <c r="B3" s="30" t="s">
        <v>78</v>
      </c>
      <c r="C3" s="30" t="s">
        <v>34</v>
      </c>
    </row>
    <row r="5" ht="21" spans="1:3">
      <c r="A5" s="66"/>
      <c r="B5" t="s">
        <v>44</v>
      </c>
      <c r="C5" t="s">
        <v>45</v>
      </c>
    </row>
    <row r="7" spans="2:3">
      <c r="B7" t="s">
        <v>46</v>
      </c>
      <c r="C7" t="s">
        <v>47</v>
      </c>
    </row>
    <row r="8" spans="2:9">
      <c r="B8" t="s">
        <v>48</v>
      </c>
      <c r="C8">
        <v>2011</v>
      </c>
      <c r="D8">
        <v>2012</v>
      </c>
      <c r="E8">
        <v>2013</v>
      </c>
      <c r="F8">
        <v>2014</v>
      </c>
      <c r="G8">
        <v>2015</v>
      </c>
      <c r="H8">
        <v>2016</v>
      </c>
      <c r="I8" t="s">
        <v>49</v>
      </c>
    </row>
    <row r="9" spans="2:9">
      <c r="B9" s="7" t="s">
        <v>50</v>
      </c>
      <c r="C9" s="8">
        <v>34727</v>
      </c>
      <c r="D9" s="8">
        <v>35196</v>
      </c>
      <c r="E9" s="8">
        <v>35671</v>
      </c>
      <c r="F9" s="8">
        <v>36194</v>
      </c>
      <c r="G9" s="8">
        <v>36899</v>
      </c>
      <c r="H9" s="8">
        <v>37644</v>
      </c>
      <c r="I9" s="8">
        <v>216331</v>
      </c>
    </row>
    <row r="10" spans="2:9">
      <c r="B10" s="7" t="s">
        <v>51</v>
      </c>
      <c r="C10" s="8">
        <v>8105</v>
      </c>
      <c r="D10" s="8">
        <v>8162</v>
      </c>
      <c r="E10" s="8">
        <v>8219</v>
      </c>
      <c r="F10" s="8">
        <v>8534</v>
      </c>
      <c r="G10" s="8">
        <v>8694</v>
      </c>
      <c r="H10" s="8">
        <v>8843</v>
      </c>
      <c r="I10" s="8">
        <v>50557</v>
      </c>
    </row>
    <row r="11" spans="2:9">
      <c r="B11" s="7" t="s">
        <v>52</v>
      </c>
      <c r="C11" s="8">
        <v>19032</v>
      </c>
      <c r="D11" s="8">
        <v>19509</v>
      </c>
      <c r="E11" s="8">
        <v>20000</v>
      </c>
      <c r="F11" s="8">
        <v>19837</v>
      </c>
      <c r="G11" s="8">
        <v>20075</v>
      </c>
      <c r="H11" s="8">
        <v>20310</v>
      </c>
      <c r="I11" s="8">
        <v>118763</v>
      </c>
    </row>
    <row r="12" spans="2:9">
      <c r="B12" s="7" t="s">
        <v>53</v>
      </c>
      <c r="C12" s="8">
        <v>11105</v>
      </c>
      <c r="D12" s="8">
        <v>11233</v>
      </c>
      <c r="E12" s="8">
        <v>11362</v>
      </c>
      <c r="F12" s="8">
        <v>11287</v>
      </c>
      <c r="G12" s="8">
        <v>11389</v>
      </c>
      <c r="H12" s="8">
        <v>11482</v>
      </c>
      <c r="I12" s="8">
        <v>67858</v>
      </c>
    </row>
    <row r="13" spans="2:9">
      <c r="B13" s="7" t="s">
        <v>54</v>
      </c>
      <c r="C13" s="8">
        <v>4152</v>
      </c>
      <c r="D13" s="8">
        <v>4168</v>
      </c>
      <c r="E13" s="8">
        <v>4184</v>
      </c>
      <c r="F13" s="8">
        <v>4167</v>
      </c>
      <c r="G13" s="8">
        <v>4197</v>
      </c>
      <c r="H13" s="8">
        <v>4213</v>
      </c>
      <c r="I13" s="8">
        <v>25081</v>
      </c>
    </row>
    <row r="14" spans="2:9">
      <c r="B14" s="7" t="s">
        <v>55</v>
      </c>
      <c r="C14" s="8">
        <v>17029</v>
      </c>
      <c r="D14" s="8">
        <v>17131</v>
      </c>
      <c r="E14" s="8">
        <v>17233</v>
      </c>
      <c r="F14" s="8">
        <v>17809</v>
      </c>
      <c r="G14" s="8">
        <v>18049</v>
      </c>
      <c r="H14" s="8">
        <v>18213</v>
      </c>
      <c r="I14" s="8">
        <v>105464</v>
      </c>
    </row>
    <row r="15" spans="2:9">
      <c r="B15" s="7" t="s">
        <v>56</v>
      </c>
      <c r="C15" s="8">
        <v>68510</v>
      </c>
      <c r="D15" s="8">
        <v>68385</v>
      </c>
      <c r="E15" s="8">
        <v>68268</v>
      </c>
      <c r="F15" s="8">
        <v>66269</v>
      </c>
      <c r="G15" s="8">
        <v>66052</v>
      </c>
      <c r="H15" s="8">
        <v>65716</v>
      </c>
      <c r="I15" s="8">
        <v>403200</v>
      </c>
    </row>
    <row r="16" spans="2:9">
      <c r="B16" s="7" t="s">
        <v>57</v>
      </c>
      <c r="C16" s="8">
        <v>34975</v>
      </c>
      <c r="D16" s="8">
        <v>35485</v>
      </c>
      <c r="E16" s="8">
        <v>36004</v>
      </c>
      <c r="F16" s="8">
        <v>35307</v>
      </c>
      <c r="G16" s="8">
        <v>35622</v>
      </c>
      <c r="H16" s="8">
        <v>35715</v>
      </c>
      <c r="I16" s="8">
        <v>213108</v>
      </c>
    </row>
    <row r="17" spans="2:9">
      <c r="B17" s="7" t="s">
        <v>58</v>
      </c>
      <c r="C17" s="8">
        <v>11606</v>
      </c>
      <c r="D17" s="8">
        <v>11698</v>
      </c>
      <c r="E17" s="8">
        <v>11792</v>
      </c>
      <c r="F17" s="8">
        <v>12138</v>
      </c>
      <c r="G17" s="8">
        <v>12328</v>
      </c>
      <c r="H17" s="8">
        <v>12497</v>
      </c>
      <c r="I17" s="8">
        <v>72059</v>
      </c>
    </row>
    <row r="18" spans="2:9">
      <c r="B18" s="7" t="s">
        <v>59</v>
      </c>
      <c r="C18" s="8">
        <v>10226</v>
      </c>
      <c r="D18" s="8">
        <v>10452</v>
      </c>
      <c r="E18" s="8">
        <v>10681</v>
      </c>
      <c r="F18" s="8">
        <v>10637</v>
      </c>
      <c r="G18" s="8">
        <v>10772</v>
      </c>
      <c r="H18" s="8">
        <v>10905</v>
      </c>
      <c r="I18" s="8">
        <v>63673</v>
      </c>
    </row>
    <row r="19" spans="2:9">
      <c r="B19" s="7" t="s">
        <v>60</v>
      </c>
      <c r="C19" s="8">
        <v>13202</v>
      </c>
      <c r="D19" s="8">
        <v>13453</v>
      </c>
      <c r="E19" s="8">
        <v>13710</v>
      </c>
      <c r="F19" s="8">
        <v>13208</v>
      </c>
      <c r="G19" s="8">
        <v>13269</v>
      </c>
      <c r="H19" s="8">
        <v>13329</v>
      </c>
      <c r="I19" s="8">
        <v>80171</v>
      </c>
    </row>
    <row r="20" spans="2:9">
      <c r="B20" s="7" t="s">
        <v>61</v>
      </c>
      <c r="C20" s="8">
        <v>20003</v>
      </c>
      <c r="D20" s="8">
        <v>20915</v>
      </c>
      <c r="E20" s="8">
        <v>21866</v>
      </c>
      <c r="F20" s="8">
        <v>22304</v>
      </c>
      <c r="G20" s="8">
        <v>22790</v>
      </c>
      <c r="H20" s="8">
        <v>23228</v>
      </c>
      <c r="I20" s="8">
        <v>131106</v>
      </c>
    </row>
    <row r="21" spans="2:9">
      <c r="B21" s="7" t="s">
        <v>62</v>
      </c>
      <c r="C21" s="8">
        <v>21997</v>
      </c>
      <c r="D21" s="8">
        <v>22406</v>
      </c>
      <c r="E21" s="8">
        <v>22823</v>
      </c>
      <c r="F21" s="8">
        <v>22779</v>
      </c>
      <c r="G21" s="8">
        <v>22988</v>
      </c>
      <c r="H21" s="8">
        <v>23144</v>
      </c>
      <c r="I21" s="8">
        <v>136137</v>
      </c>
    </row>
    <row r="22" spans="2:9">
      <c r="B22" s="7" t="s">
        <v>63</v>
      </c>
      <c r="C22" s="8">
        <v>32430</v>
      </c>
      <c r="D22" s="8">
        <v>33479</v>
      </c>
      <c r="E22" s="8">
        <v>34560</v>
      </c>
      <c r="F22" s="8">
        <v>34707</v>
      </c>
      <c r="G22" s="8">
        <v>35354</v>
      </c>
      <c r="H22" s="8">
        <v>35990</v>
      </c>
      <c r="I22" s="8">
        <v>206520</v>
      </c>
    </row>
    <row r="23" spans="2:9">
      <c r="B23" s="7" t="s">
        <v>64</v>
      </c>
      <c r="C23" s="8">
        <v>8140</v>
      </c>
      <c r="D23" s="8">
        <v>8248</v>
      </c>
      <c r="E23" s="8">
        <v>8356</v>
      </c>
      <c r="F23" s="8">
        <v>8609</v>
      </c>
      <c r="G23" s="8">
        <v>8743</v>
      </c>
      <c r="H23" s="8">
        <v>8848</v>
      </c>
      <c r="I23" s="8">
        <v>50944</v>
      </c>
    </row>
    <row r="24" spans="2:9">
      <c r="B24" s="7" t="s">
        <v>65</v>
      </c>
      <c r="C24" s="8">
        <v>8050</v>
      </c>
      <c r="D24" s="8">
        <v>8098</v>
      </c>
      <c r="E24" s="8">
        <v>8146</v>
      </c>
      <c r="F24" s="8">
        <v>8149</v>
      </c>
      <c r="G24" s="8">
        <v>8219</v>
      </c>
      <c r="H24" s="8">
        <v>8261</v>
      </c>
      <c r="I24" s="8">
        <v>48923</v>
      </c>
    </row>
    <row r="25" spans="2:9">
      <c r="B25" s="7" t="s">
        <v>66</v>
      </c>
      <c r="C25" s="8">
        <v>29265</v>
      </c>
      <c r="D25" s="8">
        <v>29541</v>
      </c>
      <c r="E25" s="8">
        <v>29817</v>
      </c>
      <c r="F25" s="8">
        <v>29702</v>
      </c>
      <c r="G25" s="8">
        <v>30012</v>
      </c>
      <c r="H25" s="8">
        <v>30323</v>
      </c>
      <c r="I25" s="8">
        <v>178660</v>
      </c>
    </row>
    <row r="26" spans="2:9">
      <c r="B26" s="7" t="s">
        <v>67</v>
      </c>
      <c r="C26" s="8">
        <v>9566</v>
      </c>
      <c r="D26" s="8">
        <v>9620</v>
      </c>
      <c r="E26" s="8">
        <v>9674</v>
      </c>
      <c r="F26" s="8">
        <v>9779</v>
      </c>
      <c r="G26" s="8">
        <v>9894</v>
      </c>
      <c r="H26" s="8">
        <v>9996</v>
      </c>
      <c r="I26" s="8">
        <v>58529</v>
      </c>
    </row>
    <row r="27" spans="2:9">
      <c r="B27" s="7" t="s">
        <v>68</v>
      </c>
      <c r="C27" s="8">
        <v>14218</v>
      </c>
      <c r="D27" s="8">
        <v>14812</v>
      </c>
      <c r="E27" s="8">
        <v>15434</v>
      </c>
      <c r="F27" s="8">
        <v>14734</v>
      </c>
      <c r="G27" s="8">
        <v>14843</v>
      </c>
      <c r="H27" s="8">
        <v>14942</v>
      </c>
      <c r="I27" s="8">
        <v>88983</v>
      </c>
    </row>
    <row r="28" spans="2:9">
      <c r="B28" s="7" t="s">
        <v>69</v>
      </c>
      <c r="C28" s="8">
        <v>14517</v>
      </c>
      <c r="D28" s="8">
        <v>14692</v>
      </c>
      <c r="E28" s="8">
        <v>14870</v>
      </c>
      <c r="F28" s="8">
        <v>15244</v>
      </c>
      <c r="G28" s="8">
        <v>15488</v>
      </c>
      <c r="H28" s="8">
        <v>15703</v>
      </c>
      <c r="I28" s="8">
        <v>90514</v>
      </c>
    </row>
    <row r="29" spans="2:9">
      <c r="B29" s="7" t="s">
        <v>70</v>
      </c>
      <c r="C29" s="8">
        <v>16049</v>
      </c>
      <c r="D29" s="8">
        <v>16834</v>
      </c>
      <c r="E29" s="8">
        <v>17658</v>
      </c>
      <c r="F29" s="8">
        <v>16799</v>
      </c>
      <c r="G29" s="8">
        <v>16915</v>
      </c>
      <c r="H29" s="8">
        <v>17029</v>
      </c>
      <c r="I29" s="8">
        <v>101284</v>
      </c>
    </row>
    <row r="30" spans="2:9">
      <c r="B30" s="7" t="s">
        <v>71</v>
      </c>
      <c r="C30" s="8">
        <v>5707</v>
      </c>
      <c r="D30" s="8">
        <v>5638</v>
      </c>
      <c r="E30" s="8">
        <v>5569</v>
      </c>
      <c r="F30" s="8">
        <v>5717</v>
      </c>
      <c r="G30" s="8">
        <v>5791</v>
      </c>
      <c r="H30" s="8">
        <v>5842</v>
      </c>
      <c r="I30" s="8">
        <v>34264</v>
      </c>
    </row>
    <row r="31" spans="2:9">
      <c r="B31" s="7" t="s">
        <v>49</v>
      </c>
      <c r="C31" s="8">
        <v>412611</v>
      </c>
      <c r="D31" s="8">
        <v>419155</v>
      </c>
      <c r="E31" s="8">
        <v>425897</v>
      </c>
      <c r="F31" s="8">
        <v>423910</v>
      </c>
      <c r="G31" s="8">
        <v>428383</v>
      </c>
      <c r="H31" s="8">
        <v>432173</v>
      </c>
      <c r="I31" s="8">
        <v>2542129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28"/>
  <sheetViews>
    <sheetView showGridLines="0" topLeftCell="A3" workbookViewId="0">
      <selection activeCell="C5" sqref="C5:C28"/>
    </sheetView>
  </sheetViews>
  <sheetFormatPr defaultColWidth="9" defaultRowHeight="15" outlineLevelCol="6"/>
  <cols>
    <col min="1" max="1" width="16" customWidth="1"/>
    <col min="2" max="2" width="15.4285714285714" customWidth="1"/>
    <col min="3" max="3" width="21.4285714285714" customWidth="1"/>
    <col min="4" max="6" width="18.4285714285714" customWidth="1"/>
    <col min="7" max="7" width="18.2857142857143" customWidth="1"/>
    <col min="8" max="8" width="18.8571428571429" customWidth="1"/>
  </cols>
  <sheetData>
    <row r="1" ht="23.25" spans="2:2">
      <c r="B1" s="30" t="s">
        <v>79</v>
      </c>
    </row>
    <row r="2" ht="23.25" spans="2:2">
      <c r="B2" s="30" t="s">
        <v>80</v>
      </c>
    </row>
    <row r="3" ht="23.25" spans="2:2">
      <c r="B3" s="30" t="s">
        <v>81</v>
      </c>
    </row>
    <row r="5" spans="2:7">
      <c r="B5" s="2" t="s">
        <v>82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</row>
    <row r="6" spans="2:7">
      <c r="B6" s="7" t="s">
        <v>50</v>
      </c>
      <c r="C6" s="54">
        <v>63114142.14</v>
      </c>
      <c r="D6" s="54">
        <v>69709714.17</v>
      </c>
      <c r="E6" s="54">
        <v>78628294.1</v>
      </c>
      <c r="F6" s="54">
        <v>91927775.3</v>
      </c>
      <c r="G6" s="54">
        <v>101421394.3</v>
      </c>
    </row>
    <row r="7" spans="2:7">
      <c r="B7" s="7" t="s">
        <v>51</v>
      </c>
      <c r="C7" s="54">
        <v>31041017.69</v>
      </c>
      <c r="D7" s="54">
        <v>34834241.73</v>
      </c>
      <c r="E7" s="54">
        <v>41015849.24</v>
      </c>
      <c r="F7" s="54">
        <v>47606282.64</v>
      </c>
      <c r="G7" s="54">
        <v>48158627.22</v>
      </c>
    </row>
    <row r="8" spans="2:7">
      <c r="B8" s="7" t="s">
        <v>52</v>
      </c>
      <c r="C8" s="54">
        <v>31502174.85</v>
      </c>
      <c r="D8" s="54">
        <v>35136459.64</v>
      </c>
      <c r="E8" s="54">
        <v>41195245.75</v>
      </c>
      <c r="F8" s="54">
        <v>49578985.22</v>
      </c>
      <c r="G8" s="54">
        <v>51318249.66</v>
      </c>
    </row>
    <row r="9" spans="2:7">
      <c r="B9" s="7" t="s">
        <v>53</v>
      </c>
      <c r="C9" s="54">
        <v>36928131.29</v>
      </c>
      <c r="D9" s="54">
        <v>41300332.74</v>
      </c>
      <c r="E9" s="54">
        <v>48936192.15</v>
      </c>
      <c r="F9" s="54">
        <v>56691032.39</v>
      </c>
      <c r="G9" s="54">
        <v>57989830.12</v>
      </c>
    </row>
    <row r="10" spans="2:7">
      <c r="B10" s="7" t="s">
        <v>54</v>
      </c>
      <c r="C10" s="54">
        <v>17555505.53</v>
      </c>
      <c r="D10" s="54">
        <v>20380486.31</v>
      </c>
      <c r="E10" s="54">
        <v>23139491.17</v>
      </c>
      <c r="F10" s="54">
        <v>25968655.08</v>
      </c>
      <c r="G10" s="54">
        <v>27093217.09</v>
      </c>
    </row>
    <row r="11" spans="2:7">
      <c r="B11" s="7" t="s">
        <v>55</v>
      </c>
      <c r="C11" s="54">
        <v>51760833.25</v>
      </c>
      <c r="D11" s="54">
        <v>56194958.34</v>
      </c>
      <c r="E11" s="54">
        <v>65259571.25</v>
      </c>
      <c r="F11" s="54">
        <v>75623357.51</v>
      </c>
      <c r="G11" s="54">
        <v>76630125.11</v>
      </c>
    </row>
    <row r="12" spans="2:7">
      <c r="B12" s="7" t="s">
        <v>56</v>
      </c>
      <c r="C12" s="54">
        <v>134709408.38</v>
      </c>
      <c r="D12" s="54">
        <v>147078243.46</v>
      </c>
      <c r="E12" s="54">
        <v>170893066.82</v>
      </c>
      <c r="F12" s="54">
        <v>191211027.62</v>
      </c>
      <c r="G12" s="54">
        <v>193270055.86</v>
      </c>
    </row>
    <row r="13" spans="2:7">
      <c r="B13" s="7" t="s">
        <v>57</v>
      </c>
      <c r="C13" s="54">
        <v>65623617.26</v>
      </c>
      <c r="D13" s="54">
        <v>71733501.53</v>
      </c>
      <c r="E13" s="54">
        <v>83466292.84</v>
      </c>
      <c r="F13" s="54">
        <v>96041823.81</v>
      </c>
      <c r="G13" s="54">
        <v>100046969.56</v>
      </c>
    </row>
    <row r="14" spans="2:7">
      <c r="B14" s="7" t="s">
        <v>58</v>
      </c>
      <c r="C14" s="54">
        <v>34177465.75</v>
      </c>
      <c r="D14" s="54">
        <v>34971099.16</v>
      </c>
      <c r="E14" s="54">
        <v>41114507.47</v>
      </c>
      <c r="F14" s="54">
        <v>47654199.83</v>
      </c>
      <c r="G14" s="54">
        <v>47924325.18</v>
      </c>
    </row>
    <row r="15" spans="2:7">
      <c r="B15" s="7" t="s">
        <v>59</v>
      </c>
      <c r="C15" s="54">
        <v>31012324.16</v>
      </c>
      <c r="D15" s="54">
        <v>30548057.05</v>
      </c>
      <c r="E15" s="54">
        <v>34340432.99</v>
      </c>
      <c r="F15" s="54">
        <v>40269818.25</v>
      </c>
      <c r="G15" s="54">
        <v>42128278.54</v>
      </c>
    </row>
    <row r="16" spans="2:7">
      <c r="B16" s="7" t="s">
        <v>60</v>
      </c>
      <c r="C16" s="54">
        <v>39715076.98</v>
      </c>
      <c r="D16" s="54">
        <v>46634196.93</v>
      </c>
      <c r="E16" s="54">
        <v>52991745.79</v>
      </c>
      <c r="F16" s="54">
        <v>61596347.09</v>
      </c>
      <c r="G16" s="54">
        <v>63480999.24</v>
      </c>
    </row>
    <row r="17" spans="2:7">
      <c r="B17" s="7" t="s">
        <v>61</v>
      </c>
      <c r="C17" s="54">
        <v>51910398.82</v>
      </c>
      <c r="D17" s="54">
        <v>59263719.12</v>
      </c>
      <c r="E17" s="54">
        <v>68598084.05</v>
      </c>
      <c r="F17" s="54">
        <v>79438403.86</v>
      </c>
      <c r="G17" s="54">
        <v>82011481.04</v>
      </c>
    </row>
    <row r="18" spans="2:7">
      <c r="B18" s="7" t="s">
        <v>62</v>
      </c>
      <c r="C18" s="54">
        <v>67506597.17</v>
      </c>
      <c r="D18" s="54">
        <v>73224727.65</v>
      </c>
      <c r="E18" s="54">
        <v>84270421.07</v>
      </c>
      <c r="F18" s="54">
        <v>97263318.94</v>
      </c>
      <c r="G18" s="54">
        <v>100042140.92</v>
      </c>
    </row>
    <row r="19" spans="2:7">
      <c r="B19" s="7" t="s">
        <v>63</v>
      </c>
      <c r="C19" s="54">
        <v>52421733.67</v>
      </c>
      <c r="D19" s="54">
        <v>57071289.35</v>
      </c>
      <c r="E19" s="54">
        <v>67111439.53</v>
      </c>
      <c r="F19" s="54">
        <v>78992872.5</v>
      </c>
      <c r="G19" s="54">
        <v>83267603.91</v>
      </c>
    </row>
    <row r="20" spans="2:7">
      <c r="B20" s="7" t="s">
        <v>64</v>
      </c>
      <c r="C20" s="54">
        <v>35277937.08</v>
      </c>
      <c r="D20" s="54">
        <v>38346263.52</v>
      </c>
      <c r="E20" s="54">
        <v>45523110.64</v>
      </c>
      <c r="F20" s="54">
        <v>52059335.93</v>
      </c>
      <c r="G20" s="54">
        <v>53467531.44</v>
      </c>
    </row>
    <row r="21" spans="2:7">
      <c r="B21" s="7" t="s">
        <v>65</v>
      </c>
      <c r="C21" s="54">
        <v>22036170.24</v>
      </c>
      <c r="D21" s="54">
        <v>24445139.38</v>
      </c>
      <c r="E21" s="54">
        <v>27558436.51</v>
      </c>
      <c r="F21" s="54">
        <v>31974897.44</v>
      </c>
      <c r="G21" s="54">
        <v>32639673.12</v>
      </c>
    </row>
    <row r="22" spans="2:7">
      <c r="B22" s="7" t="s">
        <v>66</v>
      </c>
      <c r="C22" s="54">
        <v>89516421.92</v>
      </c>
      <c r="D22" s="54">
        <v>98988608.42</v>
      </c>
      <c r="E22" s="54">
        <v>116269446.93</v>
      </c>
      <c r="F22" s="54">
        <v>135731019.87</v>
      </c>
      <c r="G22" s="54">
        <v>142715649.06</v>
      </c>
    </row>
    <row r="23" spans="2:7">
      <c r="B23" s="7" t="s">
        <v>67</v>
      </c>
      <c r="C23" s="54">
        <v>33230079.38</v>
      </c>
      <c r="D23" s="54">
        <v>37586527.81</v>
      </c>
      <c r="E23" s="54">
        <v>42449602.37</v>
      </c>
      <c r="F23" s="54">
        <v>49053038.51</v>
      </c>
      <c r="G23" s="54">
        <v>50309531.44</v>
      </c>
    </row>
    <row r="24" spans="2:7">
      <c r="B24" s="7" t="s">
        <v>68</v>
      </c>
      <c r="C24" s="54">
        <v>38723953.08</v>
      </c>
      <c r="D24" s="54">
        <v>43272157.6</v>
      </c>
      <c r="E24" s="54">
        <v>51376320.8</v>
      </c>
      <c r="F24" s="54">
        <v>59532973.87</v>
      </c>
      <c r="G24" s="54">
        <v>61592515.31</v>
      </c>
    </row>
    <row r="25" spans="2:7">
      <c r="B25" s="7" t="s">
        <v>69</v>
      </c>
      <c r="C25" s="54">
        <v>44136680.13</v>
      </c>
      <c r="D25" s="54">
        <v>48185432.76</v>
      </c>
      <c r="E25" s="54">
        <v>53738703.78</v>
      </c>
      <c r="F25" s="54">
        <v>63058447.84</v>
      </c>
      <c r="G25" s="54">
        <v>65499060.97</v>
      </c>
    </row>
    <row r="26" spans="2:7">
      <c r="B26" s="7" t="s">
        <v>70</v>
      </c>
      <c r="C26" s="54">
        <v>34885410.42</v>
      </c>
      <c r="D26" s="54">
        <v>39933526.37</v>
      </c>
      <c r="E26" s="54">
        <v>45791181.56</v>
      </c>
      <c r="F26" s="54">
        <v>53131359.66</v>
      </c>
      <c r="G26" s="54">
        <v>54488976.08</v>
      </c>
    </row>
    <row r="27" spans="2:7">
      <c r="B27" s="7" t="s">
        <v>71</v>
      </c>
      <c r="C27" s="54">
        <v>24597127.75</v>
      </c>
      <c r="D27" s="54">
        <v>27457592.37</v>
      </c>
      <c r="E27" s="54">
        <v>31917970.3</v>
      </c>
      <c r="F27" s="54">
        <v>36860039.28</v>
      </c>
      <c r="G27" s="54">
        <v>37487169.02</v>
      </c>
    </row>
    <row r="28" spans="2:7">
      <c r="B28" s="31" t="s">
        <v>83</v>
      </c>
      <c r="C28" s="55">
        <f>SUM(C6:C27)</f>
        <v>1031382206.94</v>
      </c>
      <c r="D28" s="55">
        <f>SUM(D6:D27)</f>
        <v>1136296275.41</v>
      </c>
      <c r="E28" s="55">
        <f>SUM(E6:E27)</f>
        <v>1315585407.11</v>
      </c>
      <c r="F28" s="55">
        <f>SUM(F6:F27)</f>
        <v>1521265012.44</v>
      </c>
      <c r="G28" s="55">
        <f>SUM(G6:G27)</f>
        <v>1572983404.19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AL97"/>
  <sheetViews>
    <sheetView showGridLines="0" topLeftCell="H2" workbookViewId="0">
      <selection activeCell="N5" sqref="N5:N28"/>
    </sheetView>
  </sheetViews>
  <sheetFormatPr defaultColWidth="9" defaultRowHeight="15"/>
  <cols>
    <col min="3" max="3" width="32.2857142857143" customWidth="1"/>
    <col min="4" max="4" width="18.5714285714286" customWidth="1"/>
    <col min="5" max="5" width="18.8571428571429" customWidth="1"/>
    <col min="6" max="6" width="18.5714285714286" customWidth="1"/>
    <col min="7" max="7" width="18.2857142857143" customWidth="1"/>
    <col min="8" max="8" width="19.2857142857143" customWidth="1"/>
    <col min="9" max="10" width="18.4285714285714" customWidth="1"/>
    <col min="11" max="11" width="15.4285714285714" customWidth="1"/>
    <col min="12" max="12" width="19" customWidth="1"/>
    <col min="13" max="13" width="20" customWidth="1"/>
    <col min="14" max="14" width="13" customWidth="1"/>
    <col min="15" max="15" width="13.5714285714286" customWidth="1"/>
    <col min="16" max="16" width="10.7142857142857" customWidth="1"/>
    <col min="17" max="17" width="14.2857142857143" customWidth="1"/>
    <col min="20" max="20" width="12.5714285714286" customWidth="1"/>
    <col min="24" max="24" width="16.5714285714286" customWidth="1"/>
    <col min="26" max="26" width="10.7142857142857" customWidth="1"/>
    <col min="27" max="27" width="10.5714285714286" customWidth="1"/>
  </cols>
  <sheetData>
    <row r="2" spans="3:38">
      <c r="C2" s="7"/>
      <c r="D2" s="24"/>
      <c r="E2" s="24"/>
      <c r="F2" s="24"/>
      <c r="G2" s="24"/>
      <c r="H2" s="24"/>
      <c r="I2" s="24"/>
      <c r="K2" s="7"/>
      <c r="L2" s="37"/>
      <c r="M2" s="37"/>
      <c r="N2" s="37"/>
      <c r="O2" s="37"/>
      <c r="P2" s="37"/>
      <c r="Q2" s="37"/>
      <c r="V2" s="40"/>
      <c r="W2" s="40"/>
      <c r="X2" s="40"/>
      <c r="Y2" s="40"/>
      <c r="Z2" s="40"/>
      <c r="AA2" s="40"/>
      <c r="AB2" s="40"/>
      <c r="AE2" s="40"/>
      <c r="AF2" s="51">
        <v>2011</v>
      </c>
      <c r="AG2" s="40"/>
      <c r="AH2" s="40"/>
      <c r="AI2" s="40"/>
      <c r="AJ2" s="40"/>
      <c r="AK2" s="40"/>
      <c r="AL2" s="40"/>
    </row>
    <row r="3" ht="23.25" spans="3:38">
      <c r="C3" s="30" t="s">
        <v>43</v>
      </c>
      <c r="D3" s="24"/>
      <c r="E3" s="24"/>
      <c r="F3" s="24"/>
      <c r="G3" s="24"/>
      <c r="H3" s="24"/>
      <c r="I3" s="24"/>
      <c r="K3" s="7"/>
      <c r="L3" s="37"/>
      <c r="M3" s="30" t="s">
        <v>77</v>
      </c>
      <c r="N3" s="37"/>
      <c r="O3" s="37"/>
      <c r="P3" s="37"/>
      <c r="Q3" s="37"/>
      <c r="V3" s="49"/>
      <c r="W3" s="43"/>
      <c r="X3" s="43"/>
      <c r="Y3" s="43"/>
      <c r="Z3" s="43"/>
      <c r="AA3" s="43"/>
      <c r="AB3" s="43"/>
      <c r="AC3" s="43"/>
      <c r="AE3" s="40"/>
      <c r="AF3" s="51">
        <v>2012</v>
      </c>
      <c r="AG3" s="40"/>
      <c r="AH3" s="40"/>
      <c r="AI3" s="40"/>
      <c r="AJ3" s="40"/>
      <c r="AK3" s="40"/>
      <c r="AL3" s="40"/>
    </row>
    <row r="4" spans="3:38">
      <c r="C4" s="7"/>
      <c r="D4" s="24"/>
      <c r="E4" s="24"/>
      <c r="F4" s="24"/>
      <c r="G4" s="24"/>
      <c r="H4" s="24"/>
      <c r="I4" s="24"/>
      <c r="K4" s="7"/>
      <c r="L4" s="37"/>
      <c r="M4" s="37"/>
      <c r="N4" s="37"/>
      <c r="O4" s="37"/>
      <c r="P4" s="37"/>
      <c r="Q4" s="37"/>
      <c r="V4" s="49"/>
      <c r="W4" s="43">
        <f>Graficas!K4</f>
        <v>2012</v>
      </c>
      <c r="X4" s="43"/>
      <c r="Y4" s="43"/>
      <c r="Z4" s="43"/>
      <c r="AA4" s="43"/>
      <c r="AB4" s="43"/>
      <c r="AC4" s="43"/>
      <c r="AE4" s="40"/>
      <c r="AF4" s="51">
        <v>2013</v>
      </c>
      <c r="AG4" s="40"/>
      <c r="AH4" s="40"/>
      <c r="AI4" s="40"/>
      <c r="AJ4" s="40"/>
      <c r="AK4" s="40"/>
      <c r="AL4" s="40"/>
    </row>
    <row r="5" spans="3:38">
      <c r="C5" s="2" t="s">
        <v>72</v>
      </c>
      <c r="D5" s="2">
        <v>2011</v>
      </c>
      <c r="E5" s="2">
        <v>2012</v>
      </c>
      <c r="F5" s="2">
        <v>2013</v>
      </c>
      <c r="G5" s="2">
        <v>2014</v>
      </c>
      <c r="H5" s="2">
        <v>2015</v>
      </c>
      <c r="I5" s="2">
        <v>2016</v>
      </c>
      <c r="J5" s="2" t="s">
        <v>49</v>
      </c>
      <c r="K5" s="7"/>
      <c r="L5" s="37"/>
      <c r="M5" s="2" t="s">
        <v>72</v>
      </c>
      <c r="N5" s="2">
        <v>2011</v>
      </c>
      <c r="O5" s="2">
        <v>2012</v>
      </c>
      <c r="P5" s="2">
        <v>2013</v>
      </c>
      <c r="Q5" s="2">
        <v>2014</v>
      </c>
      <c r="R5" s="2">
        <v>2015</v>
      </c>
      <c r="S5" s="2">
        <v>2016</v>
      </c>
      <c r="T5" s="2" t="s">
        <v>49</v>
      </c>
      <c r="V5" s="49"/>
      <c r="W5" s="43"/>
      <c r="X5" s="42" t="s">
        <v>72</v>
      </c>
      <c r="Y5" s="42" t="s">
        <v>84</v>
      </c>
      <c r="Z5" s="42" t="s">
        <v>85</v>
      </c>
      <c r="AA5" s="43" t="s">
        <v>86</v>
      </c>
      <c r="AB5" s="43"/>
      <c r="AC5" s="43"/>
      <c r="AE5" s="40"/>
      <c r="AF5" s="51">
        <v>2014</v>
      </c>
      <c r="AG5" s="40"/>
      <c r="AH5" s="40"/>
      <c r="AI5" s="40"/>
      <c r="AJ5" s="40"/>
      <c r="AK5" s="40"/>
      <c r="AL5" s="40"/>
    </row>
    <row r="6" spans="3:38">
      <c r="C6" s="7" t="s">
        <v>54</v>
      </c>
      <c r="D6" s="8">
        <f ca="1">GETPIVOTDATA("Cantidad",Numerador!$B$7,"Depto","El Progreso","Año",2011)</f>
        <v>2248</v>
      </c>
      <c r="E6" s="8">
        <f ca="1">GETPIVOTDATA("Cantidad",Numerador!$B$7,"Depto","El Progreso","Año",2012)</f>
        <v>2298</v>
      </c>
      <c r="F6" s="8">
        <f ca="1">GETPIVOTDATA("Cantidad",Numerador!$B$7,"Depto","El Progreso","Año",2013)</f>
        <v>2520</v>
      </c>
      <c r="G6" s="8">
        <f ca="1">GETPIVOTDATA("Cantidad",Numerador!$B$7,"Depto","El Progreso","Año",2014)</f>
        <v>2629</v>
      </c>
      <c r="H6" s="8">
        <f ca="1">GETPIVOTDATA("Cantidad",Numerador!$B$7,"Depto","El Progreso","Año",2015)</f>
        <v>2730</v>
      </c>
      <c r="I6" s="8">
        <f ca="1">GETPIVOTDATA("Cantidad",Numerador!$B$7,"Depto","El Progreso","Año",2016)</f>
        <v>2713</v>
      </c>
      <c r="J6" s="8">
        <f ca="1" t="shared" ref="J6:J27" si="0">SUM(D6:I6)</f>
        <v>15138</v>
      </c>
      <c r="K6" s="7"/>
      <c r="L6" s="37"/>
      <c r="M6" s="7" t="s">
        <v>56</v>
      </c>
      <c r="N6" s="8">
        <f ca="1">GETPIVOTDATA("Cantidad",Denominador!$B$7,"Depto","Guatemala","Año",2011)</f>
        <v>68510</v>
      </c>
      <c r="O6" s="8">
        <f ca="1">GETPIVOTDATA("Cantidad",Denominador!$B$7,"Depto","Guatemala","Año",2012)</f>
        <v>68385</v>
      </c>
      <c r="P6" s="8">
        <f ca="1">GETPIVOTDATA("Cantidad",Denominador!$B$7,"Depto","Guatemala","Año",2013)</f>
        <v>68268</v>
      </c>
      <c r="Q6" s="8">
        <f ca="1">GETPIVOTDATA("Cantidad",Denominador!$B$7,"Depto","Guatemala","Año",2014)</f>
        <v>66269</v>
      </c>
      <c r="R6" s="8">
        <f ca="1">GETPIVOTDATA("Cantidad",Denominador!$B$7,"Depto","Guatemala","Año",2015)</f>
        <v>66052</v>
      </c>
      <c r="S6" s="8">
        <f ca="1">GETPIVOTDATA("Cantidad",Denominador!$B$7,"Depto","Guatemala","Año",2016)</f>
        <v>65716</v>
      </c>
      <c r="T6" s="8">
        <v>822206</v>
      </c>
      <c r="V6" s="49"/>
      <c r="W6" s="43"/>
      <c r="X6" s="50" t="s">
        <v>54</v>
      </c>
      <c r="Y6" s="43">
        <f ca="1">IF($W$4=2011,D6,IF($W$4=2012,E6,IF($W$4=2013,F6,IF($W$4=2014,G6,IF($W$4=2015,H6,IF($W$4=2016,I6,0))))))</f>
        <v>2298</v>
      </c>
      <c r="Z6" s="43">
        <f ca="1">IF($W$4=2011,VLOOKUP(X6,$M$6:$N$27,2,0),IF($W$4=2012,VLOOKUP(X6,$M$6:$O$27,3,0),IF($W$4=2013,VLOOKUP(X6,$M$6:$P$27,4,0),IF($W$4=2014,VLOOKUP(X6,$M$6:$Q$28,5,0),IF($W$4=2015,VLOOKUP(X6,$M$6:$R$27,6,0),IF($W$4=2016,VLOOKUP(X6,$M$6:$S$27,7,0),0))))))-Y6</f>
        <v>1870</v>
      </c>
      <c r="AA6" s="43">
        <f ca="1">IF($W$4=2011,VLOOKUP(X6,$M$6:$N$27,2,0),IF($W$4=2012,VLOOKUP(X6,$M$6:$O$27,3,0),IF($W$4=2013,VLOOKUP(X6,$M$6:$P$27,4,0),IF($W$4=2014,VLOOKUP(X6,$M$6:$Q$28,5,0),IF($W$4=2015,VLOOKUP(X6,$M$6:$R$27,6,0),IF($W$4=2016,VLOOKUP(X6,$M$6:$S$27,7,0),0))))))</f>
        <v>4168</v>
      </c>
      <c r="AB6" s="43"/>
      <c r="AC6" s="43"/>
      <c r="AE6" s="40"/>
      <c r="AF6" s="51">
        <v>2015</v>
      </c>
      <c r="AG6" s="40"/>
      <c r="AH6" s="40"/>
      <c r="AI6" s="40"/>
      <c r="AJ6" s="40"/>
      <c r="AK6" s="40"/>
      <c r="AL6" s="40"/>
    </row>
    <row r="7" spans="3:38">
      <c r="C7" s="7" t="s">
        <v>71</v>
      </c>
      <c r="D7" s="8">
        <f ca="1">GETPIVOTDATA("Cantidad",Numerador!$B$7,"Depto","Zacapa","Año",2011)</f>
        <v>3555</v>
      </c>
      <c r="E7" s="8">
        <f ca="1">GETPIVOTDATA("Cantidad",Numerador!$B$7,"Depto","Zacapa","Año",2012)</f>
        <v>3217</v>
      </c>
      <c r="F7" s="8">
        <f ca="1">GETPIVOTDATA("Cantidad",Numerador!$B$7,"Depto","Zacapa","Año",2013)</f>
        <v>3309</v>
      </c>
      <c r="G7" s="8">
        <f ca="1">GETPIVOTDATA("Cantidad",Numerador!$B$7,"Depto","Zacapa","Año",2014)</f>
        <v>3303</v>
      </c>
      <c r="H7" s="8">
        <f ca="1">GETPIVOTDATA("Cantidad",Numerador!$B$7,"Depto","Zacapa","Año",2015)</f>
        <v>3473</v>
      </c>
      <c r="I7" s="8">
        <f ca="1">GETPIVOTDATA("Cantidad",Numerador!$B$7,"Depto","Zacapa","Año",2016)</f>
        <v>3469</v>
      </c>
      <c r="J7" s="8">
        <f ca="1" t="shared" si="0"/>
        <v>20326</v>
      </c>
      <c r="K7" s="7"/>
      <c r="L7" s="37"/>
      <c r="M7" s="7" t="s">
        <v>50</v>
      </c>
      <c r="N7" s="8">
        <f ca="1">GETPIVOTDATA("Cantidad",Denominador!$B$7,"Depto","Alta Verapaz","Año",2011)</f>
        <v>34727</v>
      </c>
      <c r="O7" s="8">
        <f ca="1">GETPIVOTDATA("Cantidad",Denominador!$B$7,"Depto","Alta Verapaz","Año",2012)</f>
        <v>35196</v>
      </c>
      <c r="P7" s="8">
        <f ca="1">GETPIVOTDATA("Cantidad",Denominador!$B$7,"Depto","Alta Verapaz","Año",2013)</f>
        <v>35671</v>
      </c>
      <c r="Q7" s="8">
        <f ca="1">GETPIVOTDATA("Cantidad",Denominador!$B$7,"Depto","Alta Verapaz","Año",2014)</f>
        <v>36194</v>
      </c>
      <c r="R7" s="8">
        <f ca="1">GETPIVOTDATA("Cantidad",Denominador!$B$7,"Depto","Alta Verapaz","Año",2015)</f>
        <v>36899</v>
      </c>
      <c r="S7" s="8">
        <f ca="1">GETPIVOTDATA("Cantidad",Denominador!$B$7,"Depto","Alta Verapaz","Año",2016)</f>
        <v>37644</v>
      </c>
      <c r="T7" s="8">
        <v>440294</v>
      </c>
      <c r="V7" s="49"/>
      <c r="W7" s="43"/>
      <c r="X7" s="50" t="s">
        <v>71</v>
      </c>
      <c r="Y7" s="43">
        <f ca="1">IF($W$4=2011,D7,IF($W$4=2012,E7,IF($W$4=2013,F7,IF($W$4=2014,G7,IF($W$4=2015,H7,IF($W$4=2016,I7,0))))))</f>
        <v>3217</v>
      </c>
      <c r="Z7" s="43">
        <f ca="1">IF($W$4=2011,VLOOKUP(X7,$M$6:$N$27,2,0),IF($W$4=2012,VLOOKUP(X7,$M$6:$O$27,3,0),IF($W$4=2013,VLOOKUP(X7,$M$6:$P$27,4,0),IF($W$4=2014,VLOOKUP(X7,$M$6:$Q$28,5,0),IF($W$4=2015,VLOOKUP(X7,$M$6:$R$27,6,0),IF($W$4=2016,VLOOKUP(X7,$M$6:$S$27,7,0),0))))))-Y7</f>
        <v>2421</v>
      </c>
      <c r="AA7" s="43">
        <f ca="1">IF($W$4=2011,VLOOKUP(X7,$M$6:$N$27,2,0),IF($W$4=2012,VLOOKUP(X7,$M$6:$O$27,3,0),IF($W$4=2013,VLOOKUP(X7,$M$6:$P$27,4,0),IF($W$4=2014,VLOOKUP(X7,$M$6:$Q$28,5,0),IF($W$4=2015,VLOOKUP(X7,$M$6:$R$27,6,0),IF($W$4=2016,VLOOKUP(X7,$M$6:$S$27,7,0),0))))))</f>
        <v>5638</v>
      </c>
      <c r="AB7" s="43"/>
      <c r="AC7" s="43"/>
      <c r="AE7" s="40"/>
      <c r="AF7" s="51">
        <v>2016</v>
      </c>
      <c r="AG7" s="40"/>
      <c r="AH7" s="40"/>
      <c r="AI7" s="40"/>
      <c r="AJ7" s="40"/>
      <c r="AK7" s="40"/>
      <c r="AL7" s="40"/>
    </row>
    <row r="8" spans="3:38">
      <c r="C8" s="7" t="s">
        <v>51</v>
      </c>
      <c r="D8" s="8">
        <f ca="1">GETPIVOTDATA("Cantidad",Numerador!$B$7,"Depto","Baja Verapaz","Año",2011)</f>
        <v>4092</v>
      </c>
      <c r="E8" s="8">
        <f ca="1">GETPIVOTDATA("Cantidad",Numerador!$B$7,"Depto","Baja Verapaz","Año",2012)</f>
        <v>3948</v>
      </c>
      <c r="F8" s="8">
        <f ca="1">GETPIVOTDATA("Cantidad",Numerador!$B$7,"Depto","Baja Verapaz","Año",2013)</f>
        <v>3994</v>
      </c>
      <c r="G8" s="8">
        <f ca="1">GETPIVOTDATA("Cantidad",Numerador!$B$7,"Depto","Baja Verapaz","Año",2014)</f>
        <v>3966</v>
      </c>
      <c r="H8" s="8">
        <f ca="1">GETPIVOTDATA("Cantidad",Numerador!$B$7,"Depto","Baja Verapaz","Año",2015)</f>
        <v>3997</v>
      </c>
      <c r="I8" s="8">
        <f ca="1">GETPIVOTDATA("Cantidad",Numerador!$B$7,"Depto","Baja Verapaz","Año",2016)</f>
        <v>3987</v>
      </c>
      <c r="J8" s="8">
        <f ca="1" t="shared" si="0"/>
        <v>23984</v>
      </c>
      <c r="K8" s="7"/>
      <c r="L8" s="37"/>
      <c r="M8" s="7" t="s">
        <v>57</v>
      </c>
      <c r="N8" s="8">
        <f ca="1">GETPIVOTDATA("Cantidad",Denominador!$B$7,"Depto","Huehuetenango","Año",2011)</f>
        <v>34975</v>
      </c>
      <c r="O8" s="8">
        <f ca="1">GETPIVOTDATA("Cantidad",Denominador!$B$7,"Depto","Huehuetenango","Año",2012)</f>
        <v>35485</v>
      </c>
      <c r="P8" s="8">
        <f ca="1">GETPIVOTDATA("Cantidad",Denominador!$B$7,"Depto","Huehuetenango","Año",2013)</f>
        <v>36004</v>
      </c>
      <c r="Q8" s="8">
        <f ca="1">GETPIVOTDATA("Cantidad",Denominador!$B$7,"Depto","Huehuetenango","Año",2014)</f>
        <v>35307</v>
      </c>
      <c r="R8" s="8">
        <f ca="1">GETPIVOTDATA("Cantidad",Denominador!$B$7,"Depto","Huehuetenango","Año",2015)</f>
        <v>35622</v>
      </c>
      <c r="S8" s="8">
        <f ca="1">GETPIVOTDATA("Cantidad",Denominador!$B$7,"Depto","Huehuetenango","Año",2016)</f>
        <v>35715</v>
      </c>
      <c r="T8" s="8">
        <v>435214</v>
      </c>
      <c r="V8" s="49"/>
      <c r="W8" s="43"/>
      <c r="X8" s="50" t="s">
        <v>51</v>
      </c>
      <c r="Y8" s="43">
        <f ca="1">IF($W$4=2011,D8,IF($W$4=2012,E8,IF($W$4=2013,F8,IF($W$4=2014,G8,IF($W$4=2015,H8,IF($W$4=2016,I8,0))))))</f>
        <v>3948</v>
      </c>
      <c r="Z8" s="43">
        <f ca="1">IF($W$4=2011,VLOOKUP(X8,$M$6:$N$27,2,0),IF($W$4=2012,VLOOKUP(X8,$M$6:$O$27,3,0),IF($W$4=2013,VLOOKUP(X8,$M$6:$P$27,4,0),IF($W$4=2014,VLOOKUP(X8,$M$6:$Q$28,5,0),IF($W$4=2015,VLOOKUP(X8,$M$6:$R$27,6,0),IF($W$4=2016,VLOOKUP(X8,$M$6:$S$27,7,0),0))))))-Y8</f>
        <v>4214</v>
      </c>
      <c r="AA8" s="43">
        <f ca="1">IF($W$4=2011,VLOOKUP(X8,$M$6:$N$27,2,0),IF($W$4=2012,VLOOKUP(X8,$M$6:$O$27,3,0),IF($W$4=2013,VLOOKUP(X8,$M$6:$P$27,4,0),IF($W$4=2014,VLOOKUP(X8,$M$6:$Q$28,5,0),IF($W$4=2015,VLOOKUP(X8,$M$6:$R$27,6,0),IF($W$4=2016,VLOOKUP(X8,$M$6:$S$27,7,0),0))))))</f>
        <v>8162</v>
      </c>
      <c r="AB8" s="43"/>
      <c r="AC8" s="43"/>
      <c r="AE8" s="40"/>
      <c r="AF8" s="40"/>
      <c r="AG8" s="40"/>
      <c r="AH8" s="40"/>
      <c r="AI8" s="40"/>
      <c r="AJ8" s="40"/>
      <c r="AK8" s="40"/>
      <c r="AL8" s="40"/>
    </row>
    <row r="9" spans="3:38">
      <c r="C9" s="7" t="s">
        <v>65</v>
      </c>
      <c r="D9" s="8">
        <f ca="1">GETPIVOTDATA("Cantidad",Numerador!$B$7,"Depto","Sacatepéquez","Año",2011)</f>
        <v>4467</v>
      </c>
      <c r="E9" s="8">
        <f ca="1">GETPIVOTDATA("Cantidad",Numerador!$B$7,"Depto","Sacatepéquez","Año",2012)</f>
        <v>4356</v>
      </c>
      <c r="F9" s="8">
        <f ca="1">GETPIVOTDATA("Cantidad",Numerador!$B$7,"Depto","Sacatepéquez","Año",2013)</f>
        <v>4461</v>
      </c>
      <c r="G9" s="8">
        <f ca="1">GETPIVOTDATA("Cantidad",Numerador!$B$7,"Depto","Sacatepéquez","Año",2014)</f>
        <v>4581</v>
      </c>
      <c r="H9" s="8">
        <f ca="1">GETPIVOTDATA("Cantidad",Numerador!$B$7,"Depto","Sacatepéquez","Año",2015)</f>
        <v>4602</v>
      </c>
      <c r="I9" s="8">
        <f ca="1">GETPIVOTDATA("Cantidad",Numerador!$B$7,"Depto","Sacatepéquez","Año",2016)</f>
        <v>4586</v>
      </c>
      <c r="J9" s="8">
        <f ca="1" t="shared" si="0"/>
        <v>27053</v>
      </c>
      <c r="K9" s="7"/>
      <c r="L9" s="37"/>
      <c r="M9" s="7" t="s">
        <v>63</v>
      </c>
      <c r="N9" s="8">
        <f ca="1">GETPIVOTDATA("Cantidad",Denominador!$B$7,"Depto","Quiché","Año",2011)</f>
        <v>32430</v>
      </c>
      <c r="O9" s="8">
        <f ca="1">GETPIVOTDATA("Cantidad",Denominador!$B$7,"Depto","Quiché","Año",2012)</f>
        <v>33479</v>
      </c>
      <c r="P9" s="8">
        <f ca="1">GETPIVOTDATA("Cantidad",Denominador!$B$7,"Depto","Quiché","Año",2013)</f>
        <v>34560</v>
      </c>
      <c r="Q9" s="8">
        <f ca="1">GETPIVOTDATA("Cantidad",Denominador!$B$7,"Depto","Quiché","Año",2014)</f>
        <v>34707</v>
      </c>
      <c r="R9" s="8">
        <f ca="1">GETPIVOTDATA("Cantidad",Denominador!$B$7,"Depto","Quiché","Año",2015)</f>
        <v>35354</v>
      </c>
      <c r="S9" s="8">
        <f ca="1">GETPIVOTDATA("Cantidad",Denominador!$B$7,"Depto","Quiché","Año",2016)</f>
        <v>35990</v>
      </c>
      <c r="T9" s="8">
        <v>420284</v>
      </c>
      <c r="V9" s="49"/>
      <c r="W9" s="43"/>
      <c r="X9" s="50" t="s">
        <v>65</v>
      </c>
      <c r="Y9" s="43">
        <f ca="1">IF($W$4=2011,D9,IF($W$4=2012,E9,IF($W$4=2013,F9,IF($W$4=2014,G9,IF($W$4=2015,H9,IF($W$4=2016,I9,0))))))</f>
        <v>4356</v>
      </c>
      <c r="Z9" s="43">
        <f ca="1">IF($W$4=2011,VLOOKUP(X9,$M$6:$N$27,2,0),IF($W$4=2012,VLOOKUP(X9,$M$6:$O$27,3,0),IF($W$4=2013,VLOOKUP(X9,$M$6:$P$27,4,0),IF($W$4=2014,VLOOKUP(X9,$M$6:$Q$28,5,0),IF($W$4=2015,VLOOKUP(X9,$M$6:$R$27,6,0),IF($W$4=2016,VLOOKUP(X9,$M$6:$S$27,7,0),0))))))-Y9</f>
        <v>3742</v>
      </c>
      <c r="AA9" s="43">
        <f ca="1">IF($W$4=2011,VLOOKUP(X9,$M$6:$N$27,2,0),IF($W$4=2012,VLOOKUP(X9,$M$6:$O$27,3,0),IF($W$4=2013,VLOOKUP(X9,$M$6:$P$27,4,0),IF($W$4=2014,VLOOKUP(X9,$M$6:$Q$28,5,0),IF($W$4=2015,VLOOKUP(X9,$M$6:$R$27,6,0),IF($W$4=2016,VLOOKUP(X9,$M$6:$S$27,7,0),0))))))</f>
        <v>8098</v>
      </c>
      <c r="AB9" s="43"/>
      <c r="AC9" s="43"/>
      <c r="AE9" s="40"/>
      <c r="AF9" s="40"/>
      <c r="AG9" s="40"/>
      <c r="AH9" s="40"/>
      <c r="AI9" s="40"/>
      <c r="AJ9" s="40"/>
      <c r="AK9" s="40"/>
      <c r="AL9" s="40"/>
    </row>
    <row r="10" spans="3:38">
      <c r="C10" s="7" t="s">
        <v>59</v>
      </c>
      <c r="D10" s="8">
        <f ca="1">GETPIVOTDATA("Cantidad",Numerador!$B$7,"Depto","Jalapa","Año",2011)</f>
        <v>5086</v>
      </c>
      <c r="E10" s="8">
        <f ca="1">GETPIVOTDATA("Cantidad",Numerador!$B$7,"Depto","Jalapa","Año",2012)</f>
        <v>4558</v>
      </c>
      <c r="F10" s="8">
        <f ca="1">GETPIVOTDATA("Cantidad",Numerador!$B$7,"Depto","Jalapa","Año",2013)</f>
        <v>4623</v>
      </c>
      <c r="G10" s="8">
        <f ca="1">GETPIVOTDATA("Cantidad",Numerador!$B$7,"Depto","Jalapa","Año",2014)</f>
        <v>4622</v>
      </c>
      <c r="H10" s="8">
        <f ca="1">GETPIVOTDATA("Cantidad",Numerador!$B$7,"Depto","Jalapa","Año",2015)</f>
        <v>4804</v>
      </c>
      <c r="I10" s="8">
        <f ca="1">GETPIVOTDATA("Cantidad",Numerador!$B$7,"Depto","Jalapa","Año",2016)</f>
        <v>4560</v>
      </c>
      <c r="J10" s="8">
        <f ca="1" t="shared" si="0"/>
        <v>28253</v>
      </c>
      <c r="K10" s="7"/>
      <c r="L10" s="37"/>
      <c r="M10" s="7" t="s">
        <v>66</v>
      </c>
      <c r="N10" s="8">
        <f ca="1">GETPIVOTDATA("Cantidad",Denominador!$B$7,"Depto","San Marcos","Año",2011)</f>
        <v>29265</v>
      </c>
      <c r="O10" s="8">
        <f ca="1">GETPIVOTDATA("Cantidad",Denominador!$B$7,"Depto","San Marcos","Año",2012)</f>
        <v>29541</v>
      </c>
      <c r="P10" s="8">
        <f ca="1">GETPIVOTDATA("Cantidad",Denominador!$B$7,"Depto","San Marcos","Año",2013)</f>
        <v>29817</v>
      </c>
      <c r="Q10" s="8">
        <f ca="1">GETPIVOTDATA("Cantidad",Denominador!$B$7,"Depto","San Marcos","Año",2014)</f>
        <v>29702</v>
      </c>
      <c r="R10" s="8">
        <f ca="1">GETPIVOTDATA("Cantidad",Denominador!$B$7,"Depto","San Marcos","Año",2015)</f>
        <v>30012</v>
      </c>
      <c r="S10" s="8">
        <f ca="1">GETPIVOTDATA("Cantidad",Denominador!$B$7,"Depto","San Marcos","Año",2016)</f>
        <v>30323</v>
      </c>
      <c r="T10" s="8">
        <v>363050</v>
      </c>
      <c r="V10" s="49"/>
      <c r="W10" s="43"/>
      <c r="X10" s="50" t="s">
        <v>59</v>
      </c>
      <c r="Y10" s="43">
        <f ca="1">IF($W$4=2011,D10,IF($W$4=2012,E10,IF($W$4=2013,F10,IF($W$4=2014,G10,IF($W$4=2015,H10,IF($W$4=2016,I10,0))))))</f>
        <v>4558</v>
      </c>
      <c r="Z10" s="43">
        <f ca="1">IF($W$4=2011,VLOOKUP(X10,$M$6:$N$27,2,0),IF($W$4=2012,VLOOKUP(X10,$M$6:$O$27,3,0),IF($W$4=2013,VLOOKUP(X10,$M$6:$P$27,4,0),IF($W$4=2014,VLOOKUP(X10,$M$6:$Q$28,5,0),IF($W$4=2015,VLOOKUP(X10,$M$6:$R$27,6,0),IF($W$4=2016,VLOOKUP(X10,$M$6:$S$27,7,0),0))))))-Y10</f>
        <v>5894</v>
      </c>
      <c r="AA10" s="43">
        <f ca="1">IF($W$4=2011,VLOOKUP(X10,$M$6:$N$27,2,0),IF($W$4=2012,VLOOKUP(X10,$M$6:$O$27,3,0),IF($W$4=2013,VLOOKUP(X10,$M$6:$P$27,4,0),IF($W$4=2014,VLOOKUP(X10,$M$6:$Q$28,5,0),IF($W$4=2015,VLOOKUP(X10,$M$6:$R$27,6,0),IF($W$4=2016,VLOOKUP(X10,$M$6:$S$27,7,0),0))))))</f>
        <v>10452</v>
      </c>
      <c r="AB10" s="43"/>
      <c r="AC10" s="43"/>
      <c r="AE10" s="40"/>
      <c r="AF10" s="40"/>
      <c r="AG10" s="40"/>
      <c r="AH10" s="40"/>
      <c r="AI10" s="40"/>
      <c r="AJ10" s="40"/>
      <c r="AK10" s="40"/>
      <c r="AL10" s="40"/>
    </row>
    <row r="11" spans="3:38">
      <c r="C11" s="7" t="s">
        <v>64</v>
      </c>
      <c r="D11" s="8">
        <f ca="1">GETPIVOTDATA("Cantidad",Numerador!$B$7,"Depto","Retalhuleu","Año",2011)</f>
        <v>5112</v>
      </c>
      <c r="E11" s="8">
        <f ca="1">GETPIVOTDATA("Cantidad",Numerador!$B$7,"Depto","Retalhuleu","Año",2012)</f>
        <v>4699</v>
      </c>
      <c r="F11" s="8">
        <f ca="1">GETPIVOTDATA("Cantidad",Numerador!$B$7,"Depto","Retalhuleu","Año",2013)</f>
        <v>4857</v>
      </c>
      <c r="G11" s="8">
        <f ca="1">GETPIVOTDATA("Cantidad",Numerador!$B$7,"Depto","Retalhuleu","Año",2014)</f>
        <v>4846</v>
      </c>
      <c r="H11" s="8">
        <f ca="1">GETPIVOTDATA("Cantidad",Numerador!$B$7,"Depto","Retalhuleu","Año",2015)</f>
        <v>4958</v>
      </c>
      <c r="I11" s="8">
        <f ca="1">GETPIVOTDATA("Cantidad",Numerador!$B$7,"Depto","Retalhuleu","Año",2016)</f>
        <v>5033</v>
      </c>
      <c r="J11" s="8">
        <f ca="1" t="shared" si="0"/>
        <v>29505</v>
      </c>
      <c r="K11" s="7"/>
      <c r="L11" s="37"/>
      <c r="M11" s="7" t="s">
        <v>62</v>
      </c>
      <c r="N11" s="8">
        <f ca="1">GETPIVOTDATA("Cantidad",Denominador!$B$7,"Depto","Quetzaltenango","Año",2011)</f>
        <v>21997</v>
      </c>
      <c r="O11" s="8">
        <f ca="1">GETPIVOTDATA("Cantidad",Denominador!$B$7,"Depto","Quetzaltenango","Año",2012)</f>
        <v>22406</v>
      </c>
      <c r="P11" s="8">
        <f ca="1">GETPIVOTDATA("Cantidad",Denominador!$B$7,"Depto","Quetzaltenango","Año",2013)</f>
        <v>22823</v>
      </c>
      <c r="Q11" s="8">
        <f ca="1">GETPIVOTDATA("Cantidad",Denominador!$B$7,"Depto","Quetzaltenango","Año",2014)</f>
        <v>22779</v>
      </c>
      <c r="R11" s="8">
        <f ca="1">GETPIVOTDATA("Cantidad",Denominador!$B$7,"Depto","Quetzaltenango","Año",2015)</f>
        <v>22988</v>
      </c>
      <c r="S11" s="8">
        <f ca="1">GETPIVOTDATA("Cantidad",Denominador!$B$7,"Depto","Quetzaltenango","Año",2016)</f>
        <v>23144</v>
      </c>
      <c r="T11" s="8">
        <v>277019</v>
      </c>
      <c r="V11" s="49"/>
      <c r="W11" s="43"/>
      <c r="X11" s="50" t="s">
        <v>64</v>
      </c>
      <c r="Y11" s="43">
        <f ca="1">IF($W$4=2011,D11,IF($W$4=2012,E11,IF($W$4=2013,F11,IF($W$4=2014,G11,IF($W$4=2015,H11,IF($W$4=2016,I11,0))))))</f>
        <v>4699</v>
      </c>
      <c r="Z11" s="43">
        <f ca="1">IF($W$4=2011,VLOOKUP(X11,$M$6:$N$27,2,0),IF($W$4=2012,VLOOKUP(X11,$M$6:$O$27,3,0),IF($W$4=2013,VLOOKUP(X11,$M$6:$P$27,4,0),IF($W$4=2014,VLOOKUP(X11,$M$6:$Q$28,5,0),IF($W$4=2015,VLOOKUP(X11,$M$6:$R$27,6,0),IF($W$4=2016,VLOOKUP(X11,$M$6:$S$27,7,0),0))))))-Y11</f>
        <v>3549</v>
      </c>
      <c r="AA11" s="43">
        <f ca="1">IF($W$4=2011,VLOOKUP(X11,$M$6:$N$27,2,0),IF($W$4=2012,VLOOKUP(X11,$M$6:$O$27,3,0),IF($W$4=2013,VLOOKUP(X11,$M$6:$P$27,4,0),IF($W$4=2014,VLOOKUP(X11,$M$6:$Q$28,5,0),IF($W$4=2015,VLOOKUP(X11,$M$6:$R$27,6,0),IF($W$4=2016,VLOOKUP(X11,$M$6:$S$27,7,0),0))))))</f>
        <v>8248</v>
      </c>
      <c r="AB11" s="43"/>
      <c r="AC11" s="43"/>
      <c r="AE11" s="40"/>
      <c r="AF11" s="40"/>
      <c r="AG11" s="40"/>
      <c r="AH11" s="40"/>
      <c r="AI11" s="40"/>
      <c r="AJ11" s="40"/>
      <c r="AK11" s="40"/>
      <c r="AL11" s="40"/>
    </row>
    <row r="12" spans="3:38">
      <c r="C12" s="7" t="s">
        <v>53</v>
      </c>
      <c r="D12" s="8">
        <f ca="1">GETPIVOTDATA("Cantidad",Numerador!$B$7,"Depto","Chiquimula","Año",2011)</f>
        <v>5698</v>
      </c>
      <c r="E12" s="8">
        <f ca="1">GETPIVOTDATA("Cantidad",Numerador!$B$7,"Depto","Chiquimula","Año",2012)</f>
        <v>5219</v>
      </c>
      <c r="F12" s="8">
        <f ca="1">GETPIVOTDATA("Cantidad",Numerador!$B$7,"Depto","Chiquimula","Año",2013)</f>
        <v>5174</v>
      </c>
      <c r="G12" s="8">
        <f ca="1">GETPIVOTDATA("Cantidad",Numerador!$B$7,"Depto","Chiquimula","Año",2014)</f>
        <v>5441</v>
      </c>
      <c r="H12" s="8">
        <f ca="1">GETPIVOTDATA("Cantidad",Numerador!$B$7,"Depto","Chiquimula","Año",2015)</f>
        <v>5588</v>
      </c>
      <c r="I12" s="8">
        <f ca="1">GETPIVOTDATA("Cantidad",Numerador!$B$7,"Depto","Chiquimula","Año",2016)</f>
        <v>5356</v>
      </c>
      <c r="J12" s="8">
        <f ca="1" t="shared" si="0"/>
        <v>32476</v>
      </c>
      <c r="K12" s="38"/>
      <c r="L12" s="39"/>
      <c r="M12" s="7" t="s">
        <v>61</v>
      </c>
      <c r="N12" s="8">
        <f ca="1">GETPIVOTDATA("Cantidad",Denominador!$B$7,"Depto","Petén","Año",2011)</f>
        <v>20003</v>
      </c>
      <c r="O12" s="8">
        <f ca="1">GETPIVOTDATA("Cantidad",Denominador!$B$7,"Depto","Petén","Año",2012)</f>
        <v>20915</v>
      </c>
      <c r="P12" s="8">
        <f ca="1">GETPIVOTDATA("Cantidad",Denominador!$B$7,"Depto","Petén","Año",2013)</f>
        <v>21866</v>
      </c>
      <c r="Q12" s="8">
        <f ca="1">GETPIVOTDATA("Cantidad",Denominador!$B$7,"Depto","Petén","Año",2014)</f>
        <v>22304</v>
      </c>
      <c r="R12" s="8">
        <f ca="1">GETPIVOTDATA("Cantidad",Denominador!$B$7,"Depto","Petén","Año",2015)</f>
        <v>22790</v>
      </c>
      <c r="S12" s="8">
        <f ca="1">GETPIVOTDATA("Cantidad",Denominador!$B$7,"Depto","Petén","Año",2016)</f>
        <v>23228</v>
      </c>
      <c r="T12" s="8">
        <v>268129</v>
      </c>
      <c r="V12" s="49"/>
      <c r="W12" s="43"/>
      <c r="X12" s="50" t="s">
        <v>53</v>
      </c>
      <c r="Y12" s="43">
        <f ca="1">IF($W$4=2011,D12,IF($W$4=2012,E12,IF($W$4=2013,F12,IF($W$4=2014,G12,IF($W$4=2015,H12,IF($W$4=2016,I12,0))))))</f>
        <v>5219</v>
      </c>
      <c r="Z12" s="43">
        <f ca="1">IF($W$4=2011,VLOOKUP(X12,$M$6:$N$27,2,0),IF($W$4=2012,VLOOKUP(X12,$M$6:$O$27,3,0),IF($W$4=2013,VLOOKUP(X12,$M$6:$P$27,4,0),IF($W$4=2014,VLOOKUP(X12,$M$6:$Q$28,5,0),IF($W$4=2015,VLOOKUP(X12,$M$6:$R$27,6,0),IF($W$4=2016,VLOOKUP(X12,$M$6:$S$27,7,0),0))))))-Y12</f>
        <v>6014</v>
      </c>
      <c r="AA12" s="43">
        <f ca="1">IF($W$4=2011,VLOOKUP(X12,$M$6:$N$27,2,0),IF($W$4=2012,VLOOKUP(X12,$M$6:$O$27,3,0),IF($W$4=2013,VLOOKUP(X12,$M$6:$P$27,4,0),IF($W$4=2014,VLOOKUP(X12,$M$6:$Q$28,5,0),IF($W$4=2015,VLOOKUP(X12,$M$6:$R$27,6,0),IF($W$4=2016,VLOOKUP(X12,$M$6:$S$27,7,0),0))))))</f>
        <v>11233</v>
      </c>
      <c r="AB12" s="43"/>
      <c r="AC12" s="43"/>
      <c r="AE12" s="40"/>
      <c r="AF12" s="40"/>
      <c r="AG12" s="40"/>
      <c r="AH12" s="40"/>
      <c r="AI12" s="40"/>
      <c r="AJ12" s="40"/>
      <c r="AK12" s="40"/>
      <c r="AL12" s="40"/>
    </row>
    <row r="13" spans="3:38">
      <c r="C13" s="7" t="s">
        <v>70</v>
      </c>
      <c r="D13" s="8">
        <f ca="1">GETPIVOTDATA("Cantidad",Numerador!$B$7,"Depto","Totonicapán","Año",2011)</f>
        <v>5659</v>
      </c>
      <c r="E13" s="8">
        <f ca="1">GETPIVOTDATA("Cantidad",Numerador!$B$7,"Depto","Totonicapán","Año",2012)</f>
        <v>5469</v>
      </c>
      <c r="F13" s="8">
        <f ca="1">GETPIVOTDATA("Cantidad",Numerador!$B$7,"Depto","Totonicapán","Año",2013)</f>
        <v>5543</v>
      </c>
      <c r="G13" s="8">
        <f ca="1">GETPIVOTDATA("Cantidad",Numerador!$B$7,"Depto","Totonicapán","Año",2014)</f>
        <v>5552</v>
      </c>
      <c r="H13" s="8">
        <f ca="1">GETPIVOTDATA("Cantidad",Numerador!$B$7,"Depto","Totonicapán","Año",2015)</f>
        <v>5296</v>
      </c>
      <c r="I13" s="8">
        <f ca="1">GETPIVOTDATA("Cantidad",Numerador!$B$7,"Depto","Totonicapán","Año",2016)</f>
        <v>5502</v>
      </c>
      <c r="J13" s="8">
        <f ca="1" t="shared" si="0"/>
        <v>33021</v>
      </c>
      <c r="M13" s="7" t="s">
        <v>52</v>
      </c>
      <c r="N13" s="8">
        <f ca="1">GETPIVOTDATA("Cantidad",Denominador!$B$7,"Depto","Chimaltenango","Año",2011)</f>
        <v>19032</v>
      </c>
      <c r="O13" s="8">
        <f ca="1">GETPIVOTDATA("Cantidad",Denominador!$B$7,"Depto","Chimaltenango","Año",2012)</f>
        <v>19509</v>
      </c>
      <c r="P13" s="8">
        <f ca="1">GETPIVOTDATA("Cantidad",Denominador!$B$7,"Depto","Chimaltenango","Año",2013)</f>
        <v>20000</v>
      </c>
      <c r="Q13" s="8">
        <f ca="1">GETPIVOTDATA("Cantidad",Denominador!$B$7,"Depto","Chimaltenango","Año",2014)</f>
        <v>19837</v>
      </c>
      <c r="R13" s="8">
        <f ca="1">GETPIVOTDATA("Cantidad",Denominador!$B$7,"Depto","Chimaltenango","Año",2015)</f>
        <v>20075</v>
      </c>
      <c r="S13" s="8">
        <f ca="1">GETPIVOTDATA("Cantidad",Denominador!$B$7,"Depto","Chimaltenango","Año",2016)</f>
        <v>20310</v>
      </c>
      <c r="T13" s="8">
        <v>241927</v>
      </c>
      <c r="V13" s="49"/>
      <c r="W13" s="43"/>
      <c r="X13" s="50" t="s">
        <v>70</v>
      </c>
      <c r="Y13" s="43">
        <f ca="1">IF($W$4=2011,D13,IF($W$4=2012,E13,IF($W$4=2013,F13,IF($W$4=2014,G13,IF($W$4=2015,H13,IF($W$4=2016,I13,0))))))</f>
        <v>5469</v>
      </c>
      <c r="Z13" s="43">
        <f ca="1">IF($W$4=2011,VLOOKUP(X13,$M$6:$N$27,2,0),IF($W$4=2012,VLOOKUP(X13,$M$6:$O$27,3,0),IF($W$4=2013,VLOOKUP(X13,$M$6:$P$27,4,0),IF($W$4=2014,VLOOKUP(X13,$M$6:$Q$28,5,0),IF($W$4=2015,VLOOKUP(X13,$M$6:$R$27,6,0),IF($W$4=2016,VLOOKUP(X13,$M$6:$S$27,7,0),0))))))-Y13</f>
        <v>11365</v>
      </c>
      <c r="AA13" s="43">
        <f ca="1">IF($W$4=2011,VLOOKUP(X13,$M$6:$N$27,2,0),IF($W$4=2012,VLOOKUP(X13,$M$6:$O$27,3,0),IF($W$4=2013,VLOOKUP(X13,$M$6:$P$27,4,0),IF($W$4=2014,VLOOKUP(X13,$M$6:$Q$28,5,0),IF($W$4=2015,VLOOKUP(X13,$M$6:$R$27,6,0),IF($W$4=2016,VLOOKUP(X13,$M$6:$S$27,7,0),0))))))</f>
        <v>16834</v>
      </c>
      <c r="AB13" s="43"/>
      <c r="AC13" s="43"/>
      <c r="AE13" s="40"/>
      <c r="AF13" s="40"/>
      <c r="AG13" s="40"/>
      <c r="AH13" s="40"/>
      <c r="AI13" s="40"/>
      <c r="AJ13" s="40"/>
      <c r="AK13" s="40"/>
      <c r="AL13" s="40"/>
    </row>
    <row r="14" spans="3:38">
      <c r="C14" s="7" t="s">
        <v>58</v>
      </c>
      <c r="D14" s="8">
        <f ca="1">GETPIVOTDATA("Cantidad",Numerador!$B$7,"Depto","Izabal","Año",2011)</f>
        <v>5813</v>
      </c>
      <c r="E14" s="8">
        <f ca="1">GETPIVOTDATA("Cantidad",Numerador!$B$7,"Depto","Izabal","Año",2012)</f>
        <v>5131</v>
      </c>
      <c r="F14" s="8">
        <f ca="1">GETPIVOTDATA("Cantidad",Numerador!$B$7,"Depto","Izabal","Año",2013)</f>
        <v>5229</v>
      </c>
      <c r="G14" s="8">
        <f ca="1">GETPIVOTDATA("Cantidad",Numerador!$B$7,"Depto","Izabal","Año",2014)</f>
        <v>5383</v>
      </c>
      <c r="H14" s="8">
        <f ca="1">GETPIVOTDATA("Cantidad",Numerador!$B$7,"Depto","Izabal","Año",2015)</f>
        <v>5549</v>
      </c>
      <c r="I14" s="8">
        <f ca="1">GETPIVOTDATA("Cantidad",Numerador!$B$7,"Depto","Izabal","Año",2016)</f>
        <v>5558</v>
      </c>
      <c r="J14" s="8">
        <f ca="1" t="shared" si="0"/>
        <v>32663</v>
      </c>
      <c r="M14" s="7" t="s">
        <v>55</v>
      </c>
      <c r="N14" s="8">
        <f ca="1">GETPIVOTDATA("Cantidad",Denominador!$B$7,"Depto","Escuintla","Año",2011)</f>
        <v>17029</v>
      </c>
      <c r="O14" s="8">
        <f ca="1">GETPIVOTDATA("Cantidad",Denominador!$B$7,"Depto","Escuintla","Año",2012)</f>
        <v>17131</v>
      </c>
      <c r="P14" s="8">
        <f ca="1">GETPIVOTDATA("Cantidad",Denominador!$B$7,"Depto","Escuintla","Año",2013)</f>
        <v>17233</v>
      </c>
      <c r="Q14" s="8">
        <f ca="1">GETPIVOTDATA("Cantidad",Denominador!$B$7,"Depto","Escuintla","Año",2014)</f>
        <v>17809</v>
      </c>
      <c r="R14" s="8">
        <f ca="1">GETPIVOTDATA("Cantidad",Denominador!$B$7,"Depto","Escuintla","Año",2015)</f>
        <v>18049</v>
      </c>
      <c r="S14" s="8">
        <f ca="1">GETPIVOTDATA("Cantidad",Denominador!$B$7,"Depto","Escuintla","Año",2016)</f>
        <v>18213</v>
      </c>
      <c r="T14" s="8">
        <v>214728</v>
      </c>
      <c r="V14" s="49"/>
      <c r="W14" s="43"/>
      <c r="X14" s="50" t="s">
        <v>58</v>
      </c>
      <c r="Y14" s="43">
        <f ca="1">IF($W$4=2011,D14,IF($W$4=2012,E14,IF($W$4=2013,F14,IF($W$4=2014,G14,IF($W$4=2015,H14,IF($W$4=2016,I14,0))))))</f>
        <v>5131</v>
      </c>
      <c r="Z14" s="43">
        <f ca="1">IF($W$4=2011,VLOOKUP(X14,$M$6:$N$27,2,0),IF($W$4=2012,VLOOKUP(X14,$M$6:$O$27,3,0),IF($W$4=2013,VLOOKUP(X14,$M$6:$P$27,4,0),IF($W$4=2014,VLOOKUP(X14,$M$6:$Q$28,5,0),IF($W$4=2015,VLOOKUP(X14,$M$6:$R$27,6,0),IF($W$4=2016,VLOOKUP(X14,$M$6:$S$27,7,0),0))))))-Y14</f>
        <v>6567</v>
      </c>
      <c r="AA14" s="43">
        <f ca="1">IF($W$4=2011,VLOOKUP(X14,$M$6:$N$27,2,0),IF($W$4=2012,VLOOKUP(X14,$M$6:$O$27,3,0),IF($W$4=2013,VLOOKUP(X14,$M$6:$P$27,4,0),IF($W$4=2014,VLOOKUP(X14,$M$6:$Q$28,5,0),IF($W$4=2015,VLOOKUP(X14,$M$6:$R$27,6,0),IF($W$4=2016,VLOOKUP(X14,$M$6:$S$27,7,0),0))))))</f>
        <v>11698</v>
      </c>
      <c r="AB14" s="43"/>
      <c r="AC14" s="43"/>
      <c r="AE14" s="40"/>
      <c r="AF14" s="40"/>
      <c r="AG14" s="40"/>
      <c r="AH14" s="40"/>
      <c r="AI14" s="40"/>
      <c r="AJ14" s="40"/>
      <c r="AK14" s="40"/>
      <c r="AL14" s="40"/>
    </row>
    <row r="15" spans="3:38">
      <c r="C15" s="7" t="s">
        <v>67</v>
      </c>
      <c r="D15" s="8">
        <f ca="1">GETPIVOTDATA("Cantidad",Numerador!$B$7,"Depto","Santa Rosa","Año",2011)</f>
        <v>5698</v>
      </c>
      <c r="E15" s="8">
        <f ca="1">GETPIVOTDATA("Cantidad",Numerador!$B$7,"Depto","Santa Rosa","Año",2012)</f>
        <v>5256</v>
      </c>
      <c r="F15" s="8">
        <f ca="1">GETPIVOTDATA("Cantidad",Numerador!$B$7,"Depto","Santa Rosa","Año",2013)</f>
        <v>5475</v>
      </c>
      <c r="G15" s="8">
        <f ca="1">GETPIVOTDATA("Cantidad",Numerador!$B$7,"Depto","Santa Rosa","Año",2014)</f>
        <v>5662</v>
      </c>
      <c r="H15" s="8">
        <f ca="1">GETPIVOTDATA("Cantidad",Numerador!$B$7,"Depto","Santa Rosa","Año",2015)</f>
        <v>5600</v>
      </c>
      <c r="I15" s="8">
        <f ca="1">GETPIVOTDATA("Cantidad",Numerador!$B$7,"Depto","Santa Rosa","Año",2016)</f>
        <v>5360</v>
      </c>
      <c r="J15" s="8">
        <f ca="1" t="shared" si="0"/>
        <v>33051</v>
      </c>
      <c r="M15" s="7" t="s">
        <v>70</v>
      </c>
      <c r="N15" s="8">
        <f ca="1">GETPIVOTDATA("Cantidad",Denominador!$B$7,"Depto","Totonicapán","Año",2011)</f>
        <v>16049</v>
      </c>
      <c r="O15" s="8">
        <f ca="1">GETPIVOTDATA("Cantidad",Denominador!$B$7,"Depto","Totonicapán","Año",2012)</f>
        <v>16834</v>
      </c>
      <c r="P15" s="8">
        <f ca="1">GETPIVOTDATA("Cantidad",Denominador!$B$7,"Depto","Totonicapán","Año",2013)</f>
        <v>17658</v>
      </c>
      <c r="Q15" s="8">
        <f ca="1">GETPIVOTDATA("Cantidad",Denominador!$B$7,"Depto","Totonicapán","Año",2014)</f>
        <v>16799</v>
      </c>
      <c r="R15" s="8">
        <f ca="1">GETPIVOTDATA("Cantidad",Denominador!$B$7,"Depto","Totonicapán","Año",2015)</f>
        <v>16915</v>
      </c>
      <c r="S15" s="8">
        <f ca="1">GETPIVOTDATA("Cantidad",Denominador!$B$7,"Depto","Totonicapán","Año",2016)</f>
        <v>17029</v>
      </c>
      <c r="T15" s="8">
        <v>206084</v>
      </c>
      <c r="V15" s="49"/>
      <c r="W15" s="43"/>
      <c r="X15" s="50" t="s">
        <v>67</v>
      </c>
      <c r="Y15" s="43">
        <f ca="1">IF($W$4=2011,D15,IF($W$4=2012,E15,IF($W$4=2013,F15,IF($W$4=2014,G15,IF($W$4=2015,H15,IF($W$4=2016,I15,0))))))</f>
        <v>5256</v>
      </c>
      <c r="Z15" s="43">
        <f ca="1">IF($W$4=2011,VLOOKUP(X15,$M$6:$N$27,2,0),IF($W$4=2012,VLOOKUP(X15,$M$6:$O$27,3,0),IF($W$4=2013,VLOOKUP(X15,$M$6:$P$27,4,0),IF($W$4=2014,VLOOKUP(X15,$M$6:$Q$28,5,0),IF($W$4=2015,VLOOKUP(X15,$M$6:$R$27,6,0),IF($W$4=2016,VLOOKUP(X15,$M$6:$S$27,7,0),0))))))-Y15</f>
        <v>4364</v>
      </c>
      <c r="AA15" s="43">
        <f ca="1">IF($W$4=2011,VLOOKUP(X15,$M$6:$N$27,2,0),IF($W$4=2012,VLOOKUP(X15,$M$6:$O$27,3,0),IF($W$4=2013,VLOOKUP(X15,$M$6:$P$27,4,0),IF($W$4=2014,VLOOKUP(X15,$M$6:$Q$28,5,0),IF($W$4=2015,VLOOKUP(X15,$M$6:$R$27,6,0),IF($W$4=2016,VLOOKUP(X15,$M$6:$S$27,7,0),0))))))</f>
        <v>9620</v>
      </c>
      <c r="AB15" s="43"/>
      <c r="AC15" s="43"/>
      <c r="AE15" s="40"/>
      <c r="AF15" s="40"/>
      <c r="AG15" s="40"/>
      <c r="AH15" s="40"/>
      <c r="AI15" s="40"/>
      <c r="AJ15" s="40"/>
      <c r="AK15" s="40"/>
      <c r="AL15" s="40"/>
    </row>
    <row r="16" spans="3:38">
      <c r="C16" s="7" t="s">
        <v>68</v>
      </c>
      <c r="D16" s="8">
        <f ca="1">GETPIVOTDATA("Cantidad",Numerador!$B$7,"Depto","Sololá","Año",2011)</f>
        <v>5897</v>
      </c>
      <c r="E16" s="8">
        <f ca="1">GETPIVOTDATA("Cantidad",Numerador!$B$7,"Depto","Sololá","Año",2012)</f>
        <v>5914</v>
      </c>
      <c r="F16" s="8">
        <f ca="1">GETPIVOTDATA("Cantidad",Numerador!$B$7,"Depto","Sololá","Año",2013)</f>
        <v>6099</v>
      </c>
      <c r="G16" s="8">
        <f ca="1">GETPIVOTDATA("Cantidad",Numerador!$B$7,"Depto","Sololá","Año",2014)</f>
        <v>6449</v>
      </c>
      <c r="H16" s="8">
        <f ca="1">GETPIVOTDATA("Cantidad",Numerador!$B$7,"Depto","Sololá","Año",2015)</f>
        <v>6333</v>
      </c>
      <c r="I16" s="8">
        <f ca="1">GETPIVOTDATA("Cantidad",Numerador!$B$7,"Depto","Sololá","Año",2016)</f>
        <v>6210</v>
      </c>
      <c r="J16" s="8">
        <f ca="1" t="shared" si="0"/>
        <v>36902</v>
      </c>
      <c r="M16" s="7" t="s">
        <v>69</v>
      </c>
      <c r="N16" s="8">
        <f ca="1">GETPIVOTDATA("Cantidad",Denominador!$B$7,"Depto","Suchitepéquez","Año",2011)</f>
        <v>14517</v>
      </c>
      <c r="O16" s="8">
        <f ca="1">GETPIVOTDATA("Cantidad",Denominador!$B$7,"Depto","Suchitepéquez","Año",2012)</f>
        <v>14692</v>
      </c>
      <c r="P16" s="8">
        <f ca="1">GETPIVOTDATA("Cantidad",Denominador!$B$7,"Depto","Suchitepéquez","Año",2013)</f>
        <v>14870</v>
      </c>
      <c r="Q16" s="8">
        <f ca="1">GETPIVOTDATA("Cantidad",Denominador!$B$7,"Depto","Suchitepéquez","Año",2014)</f>
        <v>15244</v>
      </c>
      <c r="R16" s="8">
        <f ca="1">GETPIVOTDATA("Cantidad",Denominador!$B$7,"Depto","Suchitepéquez","Año",2015)</f>
        <v>15488</v>
      </c>
      <c r="S16" s="8">
        <f ca="1">GETPIVOTDATA("Cantidad",Denominador!$B$7,"Depto","Suchitepéquez","Año",2016)</f>
        <v>15703</v>
      </c>
      <c r="T16" s="8">
        <v>183817</v>
      </c>
      <c r="V16" s="49"/>
      <c r="W16" s="43"/>
      <c r="X16" s="50" t="s">
        <v>68</v>
      </c>
      <c r="Y16" s="43">
        <f ca="1">IF($W$4=2011,D16,IF($W$4=2012,E16,IF($W$4=2013,F16,IF($W$4=2014,G16,IF($W$4=2015,H16,IF($W$4=2016,I16,0))))))</f>
        <v>5914</v>
      </c>
      <c r="Z16" s="43">
        <f ca="1">IF($W$4=2011,VLOOKUP(X16,$M$6:$N$27,2,0),IF($W$4=2012,VLOOKUP(X16,$M$6:$O$27,3,0),IF($W$4=2013,VLOOKUP(X16,$M$6:$P$27,4,0),IF($W$4=2014,VLOOKUP(X16,$M$6:$Q$28,5,0),IF($W$4=2015,VLOOKUP(X16,$M$6:$R$27,6,0),IF($W$4=2016,VLOOKUP(X16,$M$6:$S$27,7,0),0))))))-Y16</f>
        <v>8898</v>
      </c>
      <c r="AA16" s="43">
        <f ca="1">IF($W$4=2011,VLOOKUP(X16,$M$6:$N$27,2,0),IF($W$4=2012,VLOOKUP(X16,$M$6:$O$27,3,0),IF($W$4=2013,VLOOKUP(X16,$M$6:$P$27,4,0),IF($W$4=2014,VLOOKUP(X16,$M$6:$Q$28,5,0),IF($W$4=2015,VLOOKUP(X16,$M$6:$R$27,6,0),IF($W$4=2016,VLOOKUP(X16,$M$6:$S$27,7,0),0))))))</f>
        <v>14812</v>
      </c>
      <c r="AB16" s="43"/>
      <c r="AC16" s="43"/>
      <c r="AE16" s="40"/>
      <c r="AF16" s="40"/>
      <c r="AG16" s="40"/>
      <c r="AH16" s="40"/>
      <c r="AI16" s="40"/>
      <c r="AJ16" s="40"/>
      <c r="AK16" s="40"/>
      <c r="AL16" s="40"/>
    </row>
    <row r="17" spans="3:38">
      <c r="C17" s="7" t="s">
        <v>60</v>
      </c>
      <c r="D17" s="8">
        <f ca="1">GETPIVOTDATA("Cantidad",Numerador!$B$7,"Depto","Jutiapa","Año",2011)</f>
        <v>7437</v>
      </c>
      <c r="E17" s="8">
        <f ca="1">GETPIVOTDATA("Cantidad",Numerador!$B$7,"Depto","Jutiapa","Año",2012)</f>
        <v>7005</v>
      </c>
      <c r="F17" s="8">
        <f ca="1">GETPIVOTDATA("Cantidad",Numerador!$B$7,"Depto","Jutiapa","Año",2013)</f>
        <v>6918</v>
      </c>
      <c r="G17" s="8">
        <f ca="1">GETPIVOTDATA("Cantidad",Numerador!$B$7,"Depto","Jutiapa","Año",2014)</f>
        <v>7080</v>
      </c>
      <c r="H17" s="8">
        <f ca="1">GETPIVOTDATA("Cantidad",Numerador!$B$7,"Depto","Jutiapa","Año",2015)</f>
        <v>7203</v>
      </c>
      <c r="I17" s="8">
        <f ca="1">GETPIVOTDATA("Cantidad",Numerador!$B$7,"Depto","Jutiapa","Año",2016)</f>
        <v>7173</v>
      </c>
      <c r="J17" s="8">
        <f ca="1" t="shared" si="0"/>
        <v>42816</v>
      </c>
      <c r="M17" s="7" t="s">
        <v>68</v>
      </c>
      <c r="N17" s="8">
        <f ca="1">GETPIVOTDATA("Cantidad",Denominador!$B$7,"Depto","Sololá","Año",2011)</f>
        <v>14218</v>
      </c>
      <c r="O17" s="8">
        <f ca="1">GETPIVOTDATA("Cantidad",Denominador!$B$7,"Depto","Sololá","Año",2012)</f>
        <v>14812</v>
      </c>
      <c r="P17" s="8">
        <f ca="1">GETPIVOTDATA("Cantidad",Denominador!$B$7,"Depto","Sololá","Año",2013)</f>
        <v>15434</v>
      </c>
      <c r="Q17" s="8">
        <f ca="1">GETPIVOTDATA("Cantidad",Denominador!$B$7,"Depto","Sololá","Año",2014)</f>
        <v>14734</v>
      </c>
      <c r="R17" s="8">
        <f ca="1">GETPIVOTDATA("Cantidad",Denominador!$B$7,"Depto","Sololá","Año",2015)</f>
        <v>14843</v>
      </c>
      <c r="S17" s="8">
        <f ca="1">GETPIVOTDATA("Cantidad",Denominador!$B$7,"Depto","Sololá","Año",2016)</f>
        <v>14942</v>
      </c>
      <c r="T17" s="8">
        <v>181196</v>
      </c>
      <c r="V17" s="49"/>
      <c r="W17" s="43"/>
      <c r="X17" s="50" t="s">
        <v>60</v>
      </c>
      <c r="Y17" s="43">
        <f ca="1">IF($W$4=2011,D17,IF($W$4=2012,E17,IF($W$4=2013,F17,IF($W$4=2014,G17,IF($W$4=2015,H17,IF($W$4=2016,I17,0))))))</f>
        <v>7005</v>
      </c>
      <c r="Z17" s="43">
        <f ca="1">IF($W$4=2011,VLOOKUP(X17,$M$6:$N$27,2,0),IF($W$4=2012,VLOOKUP(X17,$M$6:$O$27,3,0),IF($W$4=2013,VLOOKUP(X17,$M$6:$P$27,4,0),IF($W$4=2014,VLOOKUP(X17,$M$6:$Q$28,5,0),IF($W$4=2015,VLOOKUP(X17,$M$6:$R$27,6,0),IF($W$4=2016,VLOOKUP(X17,$M$6:$S$27,7,0),0))))))-Y17</f>
        <v>6448</v>
      </c>
      <c r="AA17" s="43">
        <f ca="1">IF($W$4=2011,VLOOKUP(X17,$M$6:$N$27,2,0),IF($W$4=2012,VLOOKUP(X17,$M$6:$O$27,3,0),IF($W$4=2013,VLOOKUP(X17,$M$6:$P$27,4,0),IF($W$4=2014,VLOOKUP(X17,$M$6:$Q$28,5,0),IF($W$4=2015,VLOOKUP(X17,$M$6:$R$27,6,0),IF($W$4=2016,VLOOKUP(X17,$M$6:$S$27,7,0),0))))))</f>
        <v>13453</v>
      </c>
      <c r="AB17" s="43"/>
      <c r="AC17" s="43"/>
      <c r="AE17" s="40"/>
      <c r="AF17" s="40"/>
      <c r="AG17" s="40"/>
      <c r="AH17" s="40"/>
      <c r="AI17" s="40"/>
      <c r="AJ17" s="40"/>
      <c r="AK17" s="40"/>
      <c r="AL17" s="40"/>
    </row>
    <row r="18" spans="3:38">
      <c r="C18" s="7" t="s">
        <v>52</v>
      </c>
      <c r="D18" s="8">
        <f ca="1">GETPIVOTDATA("Cantidad",Numerador!$B$7,"Depto","Chimaltenango","Año",2011)</f>
        <v>7379</v>
      </c>
      <c r="E18" s="8">
        <f ca="1">GETPIVOTDATA("Cantidad",Numerador!$B$7,"Depto","Chimaltenango","Año",2012)</f>
        <v>7148</v>
      </c>
      <c r="F18" s="8">
        <f ca="1">GETPIVOTDATA("Cantidad",Numerador!$B$7,"Depto","Chimaltenango","Año",2013)</f>
        <v>7133</v>
      </c>
      <c r="G18" s="8">
        <f ca="1">GETPIVOTDATA("Cantidad",Numerador!$B$7,"Depto","Chimaltenango","Año",2014)</f>
        <v>7654</v>
      </c>
      <c r="H18" s="8">
        <f ca="1">GETPIVOTDATA("Cantidad",Numerador!$B$7,"Depto","Chimaltenango","Año",2015)</f>
        <v>7815</v>
      </c>
      <c r="I18" s="8">
        <f ca="1">GETPIVOTDATA("Cantidad",Numerador!$B$7,"Depto","Chimaltenango","Año",2016)</f>
        <v>7901</v>
      </c>
      <c r="J18" s="8">
        <f ca="1" t="shared" si="0"/>
        <v>45030</v>
      </c>
      <c r="M18" s="7" t="s">
        <v>60</v>
      </c>
      <c r="N18" s="8">
        <f ca="1">GETPIVOTDATA("Cantidad",Denominador!$B$7,"Depto","Jutiapa","Año",2011)</f>
        <v>13202</v>
      </c>
      <c r="O18" s="8">
        <f ca="1">GETPIVOTDATA("Cantidad",Denominador!$B$7,"Depto","Jutiapa","Año",2012)</f>
        <v>13453</v>
      </c>
      <c r="P18" s="8">
        <f ca="1">GETPIVOTDATA("Cantidad",Denominador!$B$7,"Depto","Jutiapa","Año",2013)</f>
        <v>13710</v>
      </c>
      <c r="Q18" s="8">
        <f ca="1">GETPIVOTDATA("Cantidad",Denominador!$B$7,"Depto","Jutiapa","Año",2014)</f>
        <v>13208</v>
      </c>
      <c r="R18" s="8">
        <f ca="1">GETPIVOTDATA("Cantidad",Denominador!$B$7,"Depto","Jutiapa","Año",2015)</f>
        <v>13269</v>
      </c>
      <c r="S18" s="8">
        <f ca="1">GETPIVOTDATA("Cantidad",Denominador!$B$7,"Depto","Jutiapa","Año",2016)</f>
        <v>13329</v>
      </c>
      <c r="T18" s="8">
        <v>161671</v>
      </c>
      <c r="V18" s="49"/>
      <c r="W18" s="43"/>
      <c r="X18" s="50" t="s">
        <v>52</v>
      </c>
      <c r="Y18" s="43">
        <f ca="1">IF($W$4=2011,D18,IF($W$4=2012,E18,IF($W$4=2013,F18,IF($W$4=2014,G18,IF($W$4=2015,H18,IF($W$4=2016,I18,0))))))</f>
        <v>7148</v>
      </c>
      <c r="Z18" s="43">
        <f ca="1">IF($W$4=2011,VLOOKUP(X18,$M$6:$N$27,2,0),IF($W$4=2012,VLOOKUP(X18,$M$6:$O$27,3,0),IF($W$4=2013,VLOOKUP(X18,$M$6:$P$27,4,0),IF($W$4=2014,VLOOKUP(X18,$M$6:$Q$28,5,0),IF($W$4=2015,VLOOKUP(X18,$M$6:$R$27,6,0),IF($W$4=2016,VLOOKUP(X18,$M$6:$S$27,7,0),0))))))-Y18</f>
        <v>12361</v>
      </c>
      <c r="AA18" s="43">
        <f ca="1">IF($W$4=2011,VLOOKUP(X18,$M$6:$N$27,2,0),IF($W$4=2012,VLOOKUP(X18,$M$6:$O$27,3,0),IF($W$4=2013,VLOOKUP(X18,$M$6:$P$27,4,0),IF($W$4=2014,VLOOKUP(X18,$M$6:$Q$28,5,0),IF($W$4=2015,VLOOKUP(X18,$M$6:$R$27,6,0),IF($W$4=2016,VLOOKUP(X18,$M$6:$S$27,7,0),0))))))</f>
        <v>19509</v>
      </c>
      <c r="AB18" s="43"/>
      <c r="AC18" s="43"/>
      <c r="AE18" s="40"/>
      <c r="AF18" s="40"/>
      <c r="AG18" s="40"/>
      <c r="AH18" s="40"/>
      <c r="AI18" s="40"/>
      <c r="AJ18" s="40"/>
      <c r="AK18" s="40"/>
      <c r="AL18" s="40"/>
    </row>
    <row r="19" spans="3:38">
      <c r="C19" s="7" t="s">
        <v>69</v>
      </c>
      <c r="D19" s="8">
        <f ca="1">GETPIVOTDATA("Cantidad",Numerador!$B$7,"Depto","Suchitepéquez","Año",2011)</f>
        <v>8728</v>
      </c>
      <c r="E19" s="8">
        <f ca="1">GETPIVOTDATA("Cantidad",Numerador!$B$7,"Depto","Suchitepéquez","Año",2012)</f>
        <v>7885</v>
      </c>
      <c r="F19" s="8">
        <f ca="1">GETPIVOTDATA("Cantidad",Numerador!$B$7,"Depto","Suchitepéquez","Año",2013)</f>
        <v>7932</v>
      </c>
      <c r="G19" s="8">
        <f ca="1">GETPIVOTDATA("Cantidad",Numerador!$B$7,"Depto","Suchitepéquez","Año",2014)</f>
        <v>7802</v>
      </c>
      <c r="H19" s="8">
        <f ca="1">GETPIVOTDATA("Cantidad",Numerador!$B$7,"Depto","Suchitepéquez","Año",2015)</f>
        <v>8095</v>
      </c>
      <c r="I19" s="8">
        <f ca="1">GETPIVOTDATA("Cantidad",Numerador!$B$7,"Depto","Suchitepéquez","Año",2016)</f>
        <v>7881</v>
      </c>
      <c r="J19" s="8">
        <f ca="1" t="shared" si="0"/>
        <v>48323</v>
      </c>
      <c r="M19" s="7" t="s">
        <v>58</v>
      </c>
      <c r="N19" s="8">
        <f ca="1">GETPIVOTDATA("Cantidad",Denominador!$B$7,"Depto","Izabal","Año",2011)</f>
        <v>11606</v>
      </c>
      <c r="O19" s="8">
        <f ca="1">GETPIVOTDATA("Cantidad",Denominador!$B$7,"Depto","Izabal","Año",2012)</f>
        <v>11698</v>
      </c>
      <c r="P19" s="8">
        <f ca="1">GETPIVOTDATA("Cantidad",Denominador!$B$7,"Depto","Izabal","Año",2013)</f>
        <v>11792</v>
      </c>
      <c r="Q19" s="8">
        <f ca="1">GETPIVOTDATA("Cantidad",Denominador!$B$7,"Depto","Izabal","Año",2014)</f>
        <v>12138</v>
      </c>
      <c r="R19" s="8">
        <f ca="1">GETPIVOTDATA("Cantidad",Denominador!$B$7,"Depto","Izabal","Año",2015)</f>
        <v>12328</v>
      </c>
      <c r="S19" s="8">
        <f ca="1">GETPIVOTDATA("Cantidad",Denominador!$B$7,"Depto","Izabal","Año",2016)</f>
        <v>12497</v>
      </c>
      <c r="T19" s="8">
        <v>146463</v>
      </c>
      <c r="V19" s="49"/>
      <c r="W19" s="43"/>
      <c r="X19" s="50" t="s">
        <v>69</v>
      </c>
      <c r="Y19" s="43">
        <f ca="1">IF($W$4=2011,D19,IF($W$4=2012,E19,IF($W$4=2013,F19,IF($W$4=2014,G19,IF($W$4=2015,H19,IF($W$4=2016,I19,0))))))</f>
        <v>7885</v>
      </c>
      <c r="Z19" s="43">
        <f ca="1">IF($W$4=2011,VLOOKUP(X19,$M$6:$N$27,2,0),IF($W$4=2012,VLOOKUP(X19,$M$6:$O$27,3,0),IF($W$4=2013,VLOOKUP(X19,$M$6:$P$27,4,0),IF($W$4=2014,VLOOKUP(X19,$M$6:$Q$28,5,0),IF($W$4=2015,VLOOKUP(X19,$M$6:$R$27,6,0),IF($W$4=2016,VLOOKUP(X19,$M$6:$S$27,7,0),0))))))-Y19</f>
        <v>6807</v>
      </c>
      <c r="AA19" s="43">
        <f ca="1">IF($W$4=2011,VLOOKUP(X19,$M$6:$N$27,2,0),IF($W$4=2012,VLOOKUP(X19,$M$6:$O$27,3,0),IF($W$4=2013,VLOOKUP(X19,$M$6:$P$27,4,0),IF($W$4=2014,VLOOKUP(X19,$M$6:$Q$28,5,0),IF($W$4=2015,VLOOKUP(X19,$M$6:$R$27,6,0),IF($W$4=2016,VLOOKUP(X19,$M$6:$S$27,7,0),0))))))</f>
        <v>14692</v>
      </c>
      <c r="AB19" s="43"/>
      <c r="AC19" s="43"/>
      <c r="AE19" s="40"/>
      <c r="AF19" s="40"/>
      <c r="AG19" s="40"/>
      <c r="AH19" s="40"/>
      <c r="AI19" s="40"/>
      <c r="AJ19" s="40"/>
      <c r="AK19" s="40"/>
      <c r="AL19" s="40"/>
    </row>
    <row r="20" spans="3:38">
      <c r="C20" s="7" t="s">
        <v>61</v>
      </c>
      <c r="D20" s="8">
        <f ca="1">GETPIVOTDATA("Cantidad",Numerador!$B$7,"Depto","Petén","Año",2011)</f>
        <v>7591</v>
      </c>
      <c r="E20" s="8">
        <f ca="1">GETPIVOTDATA("Cantidad",Numerador!$B$7,"Depto","Petén","Año",2012)</f>
        <v>7449</v>
      </c>
      <c r="F20" s="8">
        <f ca="1">GETPIVOTDATA("Cantidad",Numerador!$B$7,"Depto","Petén","Año",2013)</f>
        <v>8087</v>
      </c>
      <c r="G20" s="8">
        <f ca="1">GETPIVOTDATA("Cantidad",Numerador!$B$7,"Depto","Petén","Año",2014)</f>
        <v>8511</v>
      </c>
      <c r="H20" s="8">
        <f ca="1">GETPIVOTDATA("Cantidad",Numerador!$B$7,"Depto","Petén","Año",2015)</f>
        <v>8870</v>
      </c>
      <c r="I20" s="8">
        <f ca="1">GETPIVOTDATA("Cantidad",Numerador!$B$7,"Depto","Petén","Año",2016)</f>
        <v>8779</v>
      </c>
      <c r="J20" s="8">
        <f ca="1" t="shared" si="0"/>
        <v>49287</v>
      </c>
      <c r="M20" s="7" t="s">
        <v>53</v>
      </c>
      <c r="N20" s="8">
        <f ca="1">GETPIVOTDATA("Cantidad",Denominador!$B$7,"Depto","Chiquimula","Año",2011)</f>
        <v>11105</v>
      </c>
      <c r="O20" s="8">
        <f ca="1">GETPIVOTDATA("Cantidad",Denominador!$B$7,"Depto","Chiquimula","Año",2012)</f>
        <v>11233</v>
      </c>
      <c r="P20" s="8">
        <f ca="1">GETPIVOTDATA("Cantidad",Denominador!$B$7,"Depto","Chiquimula","Año",2013)</f>
        <v>11362</v>
      </c>
      <c r="Q20" s="8">
        <f ca="1">GETPIVOTDATA("Cantidad",Denominador!$B$7,"Depto","Chiquimula","Año",2014)</f>
        <v>11287</v>
      </c>
      <c r="R20" s="8">
        <f ca="1">GETPIVOTDATA("Cantidad",Denominador!$B$7,"Depto","Chiquimula","Año",2015)</f>
        <v>11389</v>
      </c>
      <c r="S20" s="8">
        <f ca="1">GETPIVOTDATA("Cantidad",Denominador!$B$7,"Depto","Chiquimula","Año",2016)</f>
        <v>11482</v>
      </c>
      <c r="T20" s="8">
        <v>137522</v>
      </c>
      <c r="V20" s="49"/>
      <c r="W20" s="43"/>
      <c r="X20" s="50" t="s">
        <v>61</v>
      </c>
      <c r="Y20" s="43">
        <f ca="1">IF($W$4=2011,D20,IF($W$4=2012,E20,IF($W$4=2013,F20,IF($W$4=2014,G20,IF($W$4=2015,H20,IF($W$4=2016,I20,0))))))</f>
        <v>7449</v>
      </c>
      <c r="Z20" s="43">
        <f ca="1">IF($W$4=2011,VLOOKUP(X20,$M$6:$N$27,2,0),IF($W$4=2012,VLOOKUP(X20,$M$6:$O$27,3,0),IF($W$4=2013,VLOOKUP(X20,$M$6:$P$27,4,0),IF($W$4=2014,VLOOKUP(X20,$M$6:$Q$28,5,0),IF($W$4=2015,VLOOKUP(X20,$M$6:$R$27,6,0),IF($W$4=2016,VLOOKUP(X20,$M$6:$S$27,7,0),0))))))-Y20</f>
        <v>13466</v>
      </c>
      <c r="AA20" s="43">
        <f ca="1">IF($W$4=2011,VLOOKUP(X20,$M$6:$N$27,2,0),IF($W$4=2012,VLOOKUP(X20,$M$6:$O$27,3,0),IF($W$4=2013,VLOOKUP(X20,$M$6:$P$27,4,0),IF($W$4=2014,VLOOKUP(X20,$M$6:$Q$28,5,0),IF($W$4=2015,VLOOKUP(X20,$M$6:$R$27,6,0),IF($W$4=2016,VLOOKUP(X20,$M$6:$S$27,7,0),0))))))</f>
        <v>20915</v>
      </c>
      <c r="AB20" s="43"/>
      <c r="AC20" s="43"/>
      <c r="AE20" s="40"/>
      <c r="AF20" s="40"/>
      <c r="AG20" s="40"/>
      <c r="AH20" s="40"/>
      <c r="AI20" s="40"/>
      <c r="AJ20" s="40"/>
      <c r="AK20" s="40"/>
      <c r="AL20" s="40"/>
    </row>
    <row r="21" spans="3:29">
      <c r="C21" s="7" t="s">
        <v>55</v>
      </c>
      <c r="D21" s="8">
        <f ca="1">GETPIVOTDATA("Cantidad",Numerador!$B$7,"Depto","Escuintla","Año",2011)</f>
        <v>10554</v>
      </c>
      <c r="E21" s="8">
        <f ca="1">GETPIVOTDATA("Cantidad",Numerador!$B$7,"Depto","Escuintla","Año",2012)</f>
        <v>9834</v>
      </c>
      <c r="F21" s="8">
        <f ca="1">GETPIVOTDATA("Cantidad",Numerador!$B$7,"Depto","Escuintla","Año",2013)</f>
        <v>9873</v>
      </c>
      <c r="G21" s="8">
        <f ca="1">GETPIVOTDATA("Cantidad",Numerador!$B$7,"Depto","Escuintla","Año",2014)</f>
        <v>10021</v>
      </c>
      <c r="H21" s="8">
        <f ca="1">GETPIVOTDATA("Cantidad",Numerador!$B$7,"Depto","Escuintla","Año",2015)</f>
        <v>10584</v>
      </c>
      <c r="I21" s="8">
        <f ca="1">GETPIVOTDATA("Cantidad",Numerador!$B$7,"Depto","Escuintla","Año",2016)</f>
        <v>10410</v>
      </c>
      <c r="J21" s="8">
        <f ca="1" t="shared" si="0"/>
        <v>61276</v>
      </c>
      <c r="M21" s="7" t="s">
        <v>59</v>
      </c>
      <c r="N21" s="8">
        <f ca="1">GETPIVOTDATA("Cantidad",Denominador!$B$7,"Depto","Jalapa","Año",2011)</f>
        <v>10226</v>
      </c>
      <c r="O21" s="8">
        <f ca="1">GETPIVOTDATA("Cantidad",Denominador!$B$7,"Depto","Jalapa","Año",2012)</f>
        <v>10452</v>
      </c>
      <c r="P21" s="8">
        <f ca="1">GETPIVOTDATA("Cantidad",Denominador!$B$7,"Depto","Jalapa","Año",2013)</f>
        <v>10681</v>
      </c>
      <c r="Q21" s="8">
        <f ca="1">GETPIVOTDATA("Cantidad",Denominador!$B$7,"Depto","Jalapa","Año",2014)</f>
        <v>10637</v>
      </c>
      <c r="R21" s="8">
        <f ca="1">GETPIVOTDATA("Cantidad",Denominador!$B$7,"Depto","Jalapa","Año",2015)</f>
        <v>10772</v>
      </c>
      <c r="S21" s="8">
        <f ca="1">GETPIVOTDATA("Cantidad",Denominador!$B$7,"Depto","Jalapa","Año",2016)</f>
        <v>10905</v>
      </c>
      <c r="T21" s="8">
        <v>129388</v>
      </c>
      <c r="V21" s="49"/>
      <c r="W21" s="43"/>
      <c r="X21" s="50" t="s">
        <v>55</v>
      </c>
      <c r="Y21" s="43">
        <f ca="1">IF($W$4=2011,D21,IF($W$4=2012,E21,IF($W$4=2013,F21,IF($W$4=2014,G21,IF($W$4=2015,H21,IF($W$4=2016,I21,0))))))</f>
        <v>9834</v>
      </c>
      <c r="Z21" s="43">
        <f ca="1">IF($W$4=2011,VLOOKUP(X21,$M$6:$N$27,2,0),IF($W$4=2012,VLOOKUP(X21,$M$6:$O$27,3,0),IF($W$4=2013,VLOOKUP(X21,$M$6:$P$27,4,0),IF($W$4=2014,VLOOKUP(X21,$M$6:$Q$28,5,0),IF($W$4=2015,VLOOKUP(X21,$M$6:$R$27,6,0),IF($W$4=2016,VLOOKUP(X21,$M$6:$S$27,7,0),0))))))-Y21</f>
        <v>7297</v>
      </c>
      <c r="AA21" s="43">
        <f ca="1">IF($W$4=2011,VLOOKUP(X21,$M$6:$N$27,2,0),IF($W$4=2012,VLOOKUP(X21,$M$6:$O$27,3,0),IF($W$4=2013,VLOOKUP(X21,$M$6:$P$27,4,0),IF($W$4=2014,VLOOKUP(X21,$M$6:$Q$28,5,0),IF($W$4=2015,VLOOKUP(X21,$M$6:$R$27,6,0),IF($W$4=2016,VLOOKUP(X21,$M$6:$S$27,7,0),0))))))</f>
        <v>17131</v>
      </c>
      <c r="AB21" s="43"/>
      <c r="AC21" s="43"/>
    </row>
    <row r="22" spans="3:29">
      <c r="C22" s="7" t="s">
        <v>62</v>
      </c>
      <c r="D22" s="8">
        <f ca="1">GETPIVOTDATA("Cantidad",Numerador!$B$7,"Depto","Quetzaltenango","Año",2011)</f>
        <v>10306</v>
      </c>
      <c r="E22" s="8">
        <f ca="1">GETPIVOTDATA("Cantidad",Numerador!$B$7,"Depto","Quetzaltenango","Año",2012)</f>
        <v>9681</v>
      </c>
      <c r="F22" s="8">
        <f ca="1">GETPIVOTDATA("Cantidad",Numerador!$B$7,"Depto","Quetzaltenango","Año",2013)</f>
        <v>10540</v>
      </c>
      <c r="G22" s="8">
        <f ca="1">GETPIVOTDATA("Cantidad",Numerador!$B$7,"Depto","Quetzaltenango","Año",2014)</f>
        <v>10878</v>
      </c>
      <c r="H22" s="8">
        <f ca="1">GETPIVOTDATA("Cantidad",Numerador!$B$7,"Depto","Quetzaltenango","Año",2015)</f>
        <v>11028</v>
      </c>
      <c r="I22" s="8">
        <f ca="1">GETPIVOTDATA("Cantidad",Numerador!$B$7,"Depto","Quetzaltenango","Año",2016)</f>
        <v>11141</v>
      </c>
      <c r="J22" s="8">
        <f ca="1" t="shared" si="0"/>
        <v>63574</v>
      </c>
      <c r="M22" s="7" t="s">
        <v>67</v>
      </c>
      <c r="N22" s="8">
        <f ca="1">GETPIVOTDATA("Cantidad",Denominador!$B$7,"Depto","Santa Rosa","Año",2011)</f>
        <v>9566</v>
      </c>
      <c r="O22" s="8">
        <f ca="1">GETPIVOTDATA("Cantidad",Denominador!$B$7,"Depto","Santa Rosa","Año",2012)</f>
        <v>9620</v>
      </c>
      <c r="P22" s="8">
        <f ca="1">GETPIVOTDATA("Cantidad",Denominador!$B$7,"Depto","Santa Rosa","Año",2013)</f>
        <v>9674</v>
      </c>
      <c r="Q22" s="8">
        <f ca="1">GETPIVOTDATA("Cantidad",Denominador!$B$7,"Depto","Santa Rosa","Año",2014)</f>
        <v>9779</v>
      </c>
      <c r="R22" s="8">
        <f ca="1">GETPIVOTDATA("Cantidad",Denominador!$B$7,"Depto","Santa Rosa","Año",2015)</f>
        <v>9894</v>
      </c>
      <c r="S22" s="8">
        <f ca="1">GETPIVOTDATA("Cantidad",Denominador!$B$7,"Depto","Santa Rosa","Año",2016)</f>
        <v>9996</v>
      </c>
      <c r="T22" s="8">
        <v>118404</v>
      </c>
      <c r="V22" s="49"/>
      <c r="W22" s="43"/>
      <c r="X22" s="50" t="s">
        <v>62</v>
      </c>
      <c r="Y22" s="43">
        <f ca="1">IF($W$4=2011,D22,IF($W$4=2012,E22,IF($W$4=2013,F22,IF($W$4=2014,G22,IF($W$4=2015,H22,IF($W$4=2016,I22,0))))))</f>
        <v>9681</v>
      </c>
      <c r="Z22" s="43">
        <f ca="1">IF($W$4=2011,VLOOKUP(X22,$M$6:$N$27,2,0),IF($W$4=2012,VLOOKUP(X22,$M$6:$O$27,3,0),IF($W$4=2013,VLOOKUP(X22,$M$6:$P$27,4,0),IF($W$4=2014,VLOOKUP(X22,$M$6:$Q$28,5,0),IF($W$4=2015,VLOOKUP(X22,$M$6:$R$27,6,0),IF($W$4=2016,VLOOKUP(X22,$M$6:$S$27,7,0),0))))))-Y22</f>
        <v>12725</v>
      </c>
      <c r="AA22" s="43">
        <f ca="1">IF($W$4=2011,VLOOKUP(X22,$M$6:$N$27,2,0),IF($W$4=2012,VLOOKUP(X22,$M$6:$O$27,3,0),IF($W$4=2013,VLOOKUP(X22,$M$6:$P$27,4,0),IF($W$4=2014,VLOOKUP(X22,$M$6:$Q$28,5,0),IF($W$4=2015,VLOOKUP(X22,$M$6:$R$27,6,0),IF($W$4=2016,VLOOKUP(X22,$M$6:$S$27,7,0),0))))))</f>
        <v>22406</v>
      </c>
      <c r="AB22" s="43"/>
      <c r="AC22" s="43"/>
    </row>
    <row r="23" spans="3:29">
      <c r="C23" s="7" t="s">
        <v>63</v>
      </c>
      <c r="D23" s="8">
        <f ca="1">GETPIVOTDATA("Cantidad",Numerador!$B$7,"Depto","Quiché","Año",2011)</f>
        <v>11075</v>
      </c>
      <c r="E23" s="8">
        <f ca="1">GETPIVOTDATA("Cantidad",Numerador!$B$7,"Depto","Quiché","Año",2012)</f>
        <v>9792</v>
      </c>
      <c r="F23" s="8">
        <f ca="1">GETPIVOTDATA("Cantidad",Numerador!$B$7,"Depto","Quiché","Año",2013)</f>
        <v>10104</v>
      </c>
      <c r="G23" s="8">
        <f ca="1">GETPIVOTDATA("Cantidad",Numerador!$B$7,"Depto","Quiché","Año",2014)</f>
        <v>10731</v>
      </c>
      <c r="H23" s="8">
        <f ca="1">GETPIVOTDATA("Cantidad",Numerador!$B$7,"Depto","Quiché","Año",2015)</f>
        <v>11166</v>
      </c>
      <c r="I23" s="8">
        <f ca="1">GETPIVOTDATA("Cantidad",Numerador!$B$7,"Depto","Quiché","Año",2016)</f>
        <v>10890</v>
      </c>
      <c r="J23" s="8">
        <f ca="1" t="shared" si="0"/>
        <v>63758</v>
      </c>
      <c r="M23" s="7" t="s">
        <v>64</v>
      </c>
      <c r="N23" s="8">
        <f ca="1">GETPIVOTDATA("Cantidad",Denominador!$B$7,"Depto","Retalhuleu","Año",2011)</f>
        <v>8140</v>
      </c>
      <c r="O23" s="8">
        <f ca="1">GETPIVOTDATA("Cantidad",Denominador!$B$7,"Depto","Retalhuleu","Año",2012)</f>
        <v>8248</v>
      </c>
      <c r="P23" s="8">
        <f ca="1">GETPIVOTDATA("Cantidad",Denominador!$B$7,"Depto","Retalhuleu","Año",2013)</f>
        <v>8356</v>
      </c>
      <c r="Q23" s="8">
        <f ca="1">GETPIVOTDATA("Cantidad",Denominador!$B$7,"Depto","Retalhuleu","Año",2014)</f>
        <v>8609</v>
      </c>
      <c r="R23" s="8">
        <f ca="1">GETPIVOTDATA("Cantidad",Denominador!$B$7,"Depto","Retalhuleu","Año",2015)</f>
        <v>8743</v>
      </c>
      <c r="S23" s="8">
        <f ca="1">GETPIVOTDATA("Cantidad",Denominador!$B$7,"Depto","Retalhuleu","Año",2016)</f>
        <v>8848</v>
      </c>
      <c r="T23" s="8">
        <v>103362</v>
      </c>
      <c r="V23" s="49"/>
      <c r="W23" s="43"/>
      <c r="X23" s="50" t="s">
        <v>63</v>
      </c>
      <c r="Y23" s="43">
        <f ca="1">IF($W$4=2011,D23,IF($W$4=2012,E23,IF($W$4=2013,F23,IF($W$4=2014,G23,IF($W$4=2015,H23,IF($W$4=2016,I23,0))))))</f>
        <v>9792</v>
      </c>
      <c r="Z23" s="43">
        <f ca="1">IF($W$4=2011,VLOOKUP(X23,$M$6:$N$27,2,0),IF($W$4=2012,VLOOKUP(X23,$M$6:$O$27,3,0),IF($W$4=2013,VLOOKUP(X23,$M$6:$P$27,4,0),IF($W$4=2014,VLOOKUP(X23,$M$6:$Q$28,5,0),IF($W$4=2015,VLOOKUP(X23,$M$6:$R$27,6,0),IF($W$4=2016,VLOOKUP(X23,$M$6:$S$27,7,0),0))))))-Y23</f>
        <v>23687</v>
      </c>
      <c r="AA23" s="43">
        <f ca="1">IF($W$4=2011,VLOOKUP(X23,$M$6:$N$27,2,0),IF($W$4=2012,VLOOKUP(X23,$M$6:$O$27,3,0),IF($W$4=2013,VLOOKUP(X23,$M$6:$P$27,4,0),IF($W$4=2014,VLOOKUP(X23,$M$6:$Q$28,5,0),IF($W$4=2015,VLOOKUP(X23,$M$6:$R$27,6,0),IF($W$4=2016,VLOOKUP(X23,$M$6:$S$27,7,0),0))))))</f>
        <v>33479</v>
      </c>
      <c r="AB23" s="43"/>
      <c r="AC23" s="43"/>
    </row>
    <row r="24" spans="3:29">
      <c r="C24" s="7" t="s">
        <v>57</v>
      </c>
      <c r="D24" s="8">
        <f ca="1">GETPIVOTDATA("Cantidad",Numerador!$B$7,"Depto","Huehuetenango","Año",2011)</f>
        <v>13140</v>
      </c>
      <c r="E24" s="8">
        <f ca="1">GETPIVOTDATA("Cantidad",Numerador!$B$7,"Depto","Huehuetenango","Año",2012)</f>
        <v>11640</v>
      </c>
      <c r="F24" s="8">
        <f ca="1">GETPIVOTDATA("Cantidad",Numerador!$B$7,"Depto","Huehuetenango","Año",2013)</f>
        <v>12432</v>
      </c>
      <c r="G24" s="8">
        <f ca="1">GETPIVOTDATA("Cantidad",Numerador!$B$7,"Depto","Huehuetenango","Año",2014)</f>
        <v>12990</v>
      </c>
      <c r="H24" s="8">
        <f ca="1">GETPIVOTDATA("Cantidad",Numerador!$B$7,"Depto","Huehuetenango","Año",2015)</f>
        <v>13047</v>
      </c>
      <c r="I24" s="8">
        <f ca="1">GETPIVOTDATA("Cantidad",Numerador!$B$7,"Depto","Huehuetenango","Año",2016)</f>
        <v>13163</v>
      </c>
      <c r="J24" s="8">
        <f ca="1" t="shared" si="0"/>
        <v>76412</v>
      </c>
      <c r="M24" s="7" t="s">
        <v>51</v>
      </c>
      <c r="N24" s="8">
        <f ca="1">GETPIVOTDATA("Cantidad",Denominador!$B$7,"Depto","Baja Verapaz","Año",2011)</f>
        <v>8105</v>
      </c>
      <c r="O24" s="8">
        <f ca="1">GETPIVOTDATA("Cantidad",Denominador!$B$7,"Depto","Baja Verapaz","Año",2012)</f>
        <v>8162</v>
      </c>
      <c r="P24" s="8">
        <f ca="1">GETPIVOTDATA("Cantidad",Denominador!$B$7,"Depto","Baja Verapaz","Año",2013)</f>
        <v>8219</v>
      </c>
      <c r="Q24" s="8">
        <f ca="1">GETPIVOTDATA("Cantidad",Denominador!$B$7,"Depto","Baja Verapaz","Año",2014)</f>
        <v>8534</v>
      </c>
      <c r="R24" s="8">
        <f ca="1">GETPIVOTDATA("Cantidad",Denominador!$B$7,"Depto","Baja Verapaz","Año",2015)</f>
        <v>8694</v>
      </c>
      <c r="S24" s="8">
        <f ca="1">GETPIVOTDATA("Cantidad",Denominador!$B$7,"Depto","Baja Verapaz","Año",2016)</f>
        <v>8843</v>
      </c>
      <c r="T24" s="8">
        <v>102713</v>
      </c>
      <c r="V24" s="49"/>
      <c r="W24" s="43"/>
      <c r="X24" s="50" t="s">
        <v>57</v>
      </c>
      <c r="Y24" s="43">
        <f ca="1">IF($W$4=2011,D24,IF($W$4=2012,E24,IF($W$4=2013,F24,IF($W$4=2014,G24,IF($W$4=2015,H24,IF($W$4=2016,I24,0))))))</f>
        <v>11640</v>
      </c>
      <c r="Z24" s="43">
        <f ca="1">IF($W$4=2011,VLOOKUP(X24,$M$6:$N$27,2,0),IF($W$4=2012,VLOOKUP(X24,$M$6:$O$27,3,0),IF($W$4=2013,VLOOKUP(X24,$M$6:$P$27,4,0),IF($W$4=2014,VLOOKUP(X24,$M$6:$Q$28,5,0),IF($W$4=2015,VLOOKUP(X24,$M$6:$R$27,6,0),IF($W$4=2016,VLOOKUP(X24,$M$6:$S$27,7,0),0))))))-Y24</f>
        <v>23845</v>
      </c>
      <c r="AA24" s="43">
        <f ca="1">IF($W$4=2011,VLOOKUP(X24,$M$6:$N$27,2,0),IF($W$4=2012,VLOOKUP(X24,$M$6:$O$27,3,0),IF($W$4=2013,VLOOKUP(X24,$M$6:$P$27,4,0),IF($W$4=2014,VLOOKUP(X24,$M$6:$Q$28,5,0),IF($W$4=2015,VLOOKUP(X24,$M$6:$R$27,6,0),IF($W$4=2016,VLOOKUP(X24,$M$6:$S$27,7,0),0))))))</f>
        <v>35485</v>
      </c>
      <c r="AB24" s="43"/>
      <c r="AC24" s="43"/>
    </row>
    <row r="25" spans="3:29">
      <c r="C25" s="7" t="s">
        <v>50</v>
      </c>
      <c r="D25" s="8">
        <f ca="1">GETPIVOTDATA("Cantidad",Numerador!$B$7,"Depto","Alta Verapaz","Año",2011)</f>
        <v>13227</v>
      </c>
      <c r="E25" s="8">
        <f ca="1">GETPIVOTDATA("Cantidad",Numerador!$B$7,"Depto","Alta Verapaz","Año",2012)</f>
        <v>11513</v>
      </c>
      <c r="F25" s="8">
        <f ca="1">GETPIVOTDATA("Cantidad",Numerador!$B$7,"Depto","Alta Verapaz","Año",2013)</f>
        <v>12436</v>
      </c>
      <c r="G25" s="8">
        <f ca="1">GETPIVOTDATA("Cantidad",Numerador!$B$7,"Depto","Alta Verapaz","Año",2014)</f>
        <v>13491</v>
      </c>
      <c r="H25" s="8">
        <f ca="1">GETPIVOTDATA("Cantidad",Numerador!$B$7,"Depto","Alta Verapaz","Año",2015)</f>
        <v>13381</v>
      </c>
      <c r="I25" s="8">
        <f ca="1">GETPIVOTDATA("Cantidad",Numerador!$B$7,"Depto","Alta Verapaz","Año",2016)</f>
        <v>12920</v>
      </c>
      <c r="J25" s="8">
        <f ca="1" t="shared" si="0"/>
        <v>76968</v>
      </c>
      <c r="M25" s="7" t="s">
        <v>65</v>
      </c>
      <c r="N25" s="8">
        <f ca="1">GETPIVOTDATA("Cantidad",Denominador!$B$7,"Depto","Sacatepéquez","Año",2011)</f>
        <v>8050</v>
      </c>
      <c r="O25" s="8">
        <f ca="1">GETPIVOTDATA("Cantidad",Denominador!$B$7,"Depto","Sacatepéquez","Año",2012)</f>
        <v>8098</v>
      </c>
      <c r="P25" s="8">
        <f ca="1">GETPIVOTDATA("Cantidad",Denominador!$B$7,"Depto","Sacatepéquez","Año",2013)</f>
        <v>8146</v>
      </c>
      <c r="Q25" s="8">
        <f ca="1">GETPIVOTDATA("Cantidad",Denominador!$B$7,"Depto","Sacatepéquez","Año",2014)</f>
        <v>8149</v>
      </c>
      <c r="R25" s="8">
        <f ca="1">GETPIVOTDATA("Cantidad",Denominador!$B$7,"Depto","Sacatepéquez","Año",2015)</f>
        <v>8219</v>
      </c>
      <c r="S25" s="8">
        <f ca="1">GETPIVOTDATA("Cantidad",Denominador!$B$7,"Depto","Sacatepéquez","Año",2016)</f>
        <v>8261</v>
      </c>
      <c r="T25" s="8">
        <v>100185</v>
      </c>
      <c r="V25" s="49"/>
      <c r="W25" s="43"/>
      <c r="X25" s="50" t="s">
        <v>50</v>
      </c>
      <c r="Y25" s="43">
        <f ca="1">IF($W$4=2011,D25,IF($W$4=2012,E25,IF($W$4=2013,F25,IF($W$4=2014,G25,IF($W$4=2015,H25,IF($W$4=2016,I25,0))))))</f>
        <v>11513</v>
      </c>
      <c r="Z25" s="43">
        <f ca="1">IF($W$4=2011,VLOOKUP(X25,$M$6:$N$27,2,0),IF($W$4=2012,VLOOKUP(X25,$M$6:$O$27,3,0),IF($W$4=2013,VLOOKUP(X25,$M$6:$P$27,4,0),IF($W$4=2014,VLOOKUP(X25,$M$6:$Q$28,5,0),IF($W$4=2015,VLOOKUP(X25,$M$6:$R$27,6,0),IF($W$4=2016,VLOOKUP(X25,$M$6:$S$27,7,0),0))))))-Y25</f>
        <v>23683</v>
      </c>
      <c r="AA25" s="43">
        <f ca="1">IF($W$4=2011,VLOOKUP(X25,$M$6:$N$27,2,0),IF($W$4=2012,VLOOKUP(X25,$M$6:$O$27,3,0),IF($W$4=2013,VLOOKUP(X25,$M$6:$P$27,4,0),IF($W$4=2014,VLOOKUP(X25,$M$6:$Q$28,5,0),IF($W$4=2015,VLOOKUP(X25,$M$6:$R$27,6,0),IF($W$4=2016,VLOOKUP(X25,$M$6:$S$27,7,0),0))))))</f>
        <v>35196</v>
      </c>
      <c r="AB25" s="43"/>
      <c r="AC25" s="43"/>
    </row>
    <row r="26" spans="3:29">
      <c r="C26" s="7" t="s">
        <v>66</v>
      </c>
      <c r="D26" s="8">
        <f ca="1">GETPIVOTDATA("Cantidad",Numerador!$B$7,"Depto","San Marcos","Año",2011)</f>
        <v>13664</v>
      </c>
      <c r="E26" s="8">
        <f ca="1">GETPIVOTDATA("Cantidad",Numerador!$B$7,"Depto","San Marcos","Año",2012)</f>
        <v>12905</v>
      </c>
      <c r="F26" s="8">
        <f ca="1">GETPIVOTDATA("Cantidad",Numerador!$B$7,"Depto","San Marcos","Año",2013)</f>
        <v>13397</v>
      </c>
      <c r="G26" s="8">
        <f ca="1">GETPIVOTDATA("Cantidad",Numerador!$B$7,"Depto","San Marcos","Año",2014)</f>
        <v>14099</v>
      </c>
      <c r="H26" s="8">
        <f ca="1">GETPIVOTDATA("Cantidad",Numerador!$B$7,"Depto","San Marcos","Año",2015)</f>
        <v>14346</v>
      </c>
      <c r="I26" s="8">
        <f ca="1">GETPIVOTDATA("Cantidad",Numerador!$B$7,"Depto","San Marcos","Año",2016)</f>
        <v>14406</v>
      </c>
      <c r="J26" s="8">
        <f ca="1" t="shared" si="0"/>
        <v>82817</v>
      </c>
      <c r="M26" s="7" t="s">
        <v>71</v>
      </c>
      <c r="N26" s="8">
        <f ca="1">GETPIVOTDATA("Cantidad",Denominador!$B$7,"Depto","Zacapa","Año",2011)</f>
        <v>5707</v>
      </c>
      <c r="O26" s="8">
        <f ca="1">GETPIVOTDATA("Cantidad",Denominador!$B$7,"Depto","Zacapa","Año",2012)</f>
        <v>5638</v>
      </c>
      <c r="P26" s="8">
        <f ca="1">GETPIVOTDATA("Cantidad",Denominador!$B$7,"Depto","Zacapa","Año",2013)</f>
        <v>5569</v>
      </c>
      <c r="Q26" s="8">
        <f ca="1">GETPIVOTDATA("Cantidad",Denominador!$B$7,"Depto","Zacapa","Año",2014)</f>
        <v>5717</v>
      </c>
      <c r="R26" s="8">
        <f ca="1">GETPIVOTDATA("Cantidad",Denominador!$B$7,"Depto","Zacapa","Año",2015)</f>
        <v>5791</v>
      </c>
      <c r="S26" s="8">
        <f ca="1">GETPIVOTDATA("Cantidad",Denominador!$B$7,"Depto","Zacapa","Año",2016)</f>
        <v>5842</v>
      </c>
      <c r="T26" s="8">
        <v>69111</v>
      </c>
      <c r="V26" s="49"/>
      <c r="W26" s="43"/>
      <c r="X26" s="50" t="s">
        <v>66</v>
      </c>
      <c r="Y26" s="43">
        <f ca="1">IF($W$4=2011,D26,IF($W$4=2012,E26,IF($W$4=2013,F26,IF($W$4=2014,G26,IF($W$4=2015,H26,IF($W$4=2016,I26,0))))))</f>
        <v>12905</v>
      </c>
      <c r="Z26" s="43">
        <f ca="1">IF($W$4=2011,VLOOKUP(X26,$M$6:$N$27,2,0),IF($W$4=2012,VLOOKUP(X26,$M$6:$O$27,3,0),IF($W$4=2013,VLOOKUP(X26,$M$6:$P$27,4,0),IF($W$4=2014,VLOOKUP(X26,$M$6:$Q$28,5,0),IF($W$4=2015,VLOOKUP(X26,$M$6:$R$27,6,0),IF($W$4=2016,VLOOKUP(X26,$M$6:$S$27,7,0),0))))))-Y26</f>
        <v>16636</v>
      </c>
      <c r="AA26" s="43">
        <f ca="1">IF($W$4=2011,VLOOKUP(X26,$M$6:$N$27,2,0),IF($W$4=2012,VLOOKUP(X26,$M$6:$O$27,3,0),IF($W$4=2013,VLOOKUP(X26,$M$6:$P$27,4,0),IF($W$4=2014,VLOOKUP(X26,$M$6:$Q$28,5,0),IF($W$4=2015,VLOOKUP(X26,$M$6:$R$27,6,0),IF($W$4=2016,VLOOKUP(X26,$M$6:$S$27,7,0),0))))))</f>
        <v>29541</v>
      </c>
      <c r="AB26" s="43"/>
      <c r="AC26" s="43"/>
    </row>
    <row r="27" spans="3:29">
      <c r="C27" s="7" t="s">
        <v>56</v>
      </c>
      <c r="D27" s="8">
        <f ca="1">GETPIVOTDATA("Cantidad",Numerador!$B$7,"Depto","Guatemala","Año",2011)</f>
        <v>45877</v>
      </c>
      <c r="E27" s="8">
        <f ca="1">GETPIVOTDATA("Cantidad",Numerador!$B$7,"Depto","Guatemala","Año",2012)</f>
        <v>43271</v>
      </c>
      <c r="F27" s="8">
        <f ca="1">GETPIVOTDATA("Cantidad",Numerador!$B$7,"Depto","Guatemala","Año",2013)</f>
        <v>44079</v>
      </c>
      <c r="G27" s="8">
        <f ca="1">GETPIVOTDATA("Cantidad",Numerador!$B$7,"Depto","Guatemala","Año",2014)</f>
        <v>45890</v>
      </c>
      <c r="H27" s="8">
        <f ca="1">GETPIVOTDATA("Cantidad",Numerador!$B$7,"Depto","Guatemala","Año",2015)</f>
        <v>46068</v>
      </c>
      <c r="I27" s="8">
        <f ca="1">GETPIVOTDATA("Cantidad",Numerador!$B$7,"Depto","Guatemala","Año",2016)</f>
        <v>45456</v>
      </c>
      <c r="J27" s="8">
        <f ca="1" t="shared" si="0"/>
        <v>270641</v>
      </c>
      <c r="M27" s="7" t="s">
        <v>54</v>
      </c>
      <c r="N27" s="8">
        <f ca="1">GETPIVOTDATA("Cantidad",Denominador!$B$7,"Depto","El Progreso","Año",2011)</f>
        <v>4152</v>
      </c>
      <c r="O27" s="8">
        <f ca="1">GETPIVOTDATA("Cantidad",Denominador!$B$7,"Depto","El Progreso","Año",2012)</f>
        <v>4168</v>
      </c>
      <c r="P27" s="8">
        <f ca="1">GETPIVOTDATA("Cantidad",Denominador!$B$7,"Depto","El Progreso","Año",2013)</f>
        <v>4184</v>
      </c>
      <c r="Q27" s="8">
        <f ca="1">GETPIVOTDATA("Cantidad",Denominador!$B$7,"Depto","El Progreso","Año",2014)</f>
        <v>4167</v>
      </c>
      <c r="R27" s="8">
        <f ca="1">GETPIVOTDATA("Cantidad",Denominador!$B$7,"Depto","El Progreso","Año",2015)</f>
        <v>4197</v>
      </c>
      <c r="S27" s="8">
        <f ca="1">GETPIVOTDATA("Cantidad",Denominador!$B$7,"Depto","El Progreso","Año",2016)</f>
        <v>4213</v>
      </c>
      <c r="T27" s="8">
        <v>50706</v>
      </c>
      <c r="V27" s="49"/>
      <c r="W27" s="43"/>
      <c r="X27" s="50" t="s">
        <v>56</v>
      </c>
      <c r="Y27" s="43">
        <f ca="1">IF($W$4=2011,D27,IF($W$4=2012,E27,IF($W$4=2013,F27,IF($W$4=2014,G27,IF($W$4=2015,H27,IF($W$4=2016,I27,0))))))</f>
        <v>43271</v>
      </c>
      <c r="Z27" s="43">
        <f ca="1">IF($W$4=2011,VLOOKUP(X27,$M$6:$N$27,2,0),IF($W$4=2012,VLOOKUP(X27,$M$6:$O$27,3,0),IF($W$4=2013,VLOOKUP(X27,$M$6:$P$27,4,0),IF($W$4=2014,VLOOKUP(X27,$M$6:$Q$28,5,0),IF($W$4=2015,VLOOKUP(X27,$M$6:$R$27,6,0),IF($W$4=2016,VLOOKUP(X27,$M$6:$S$27,7,0),0))))))-Y27</f>
        <v>25114</v>
      </c>
      <c r="AA27" s="43">
        <f ca="1">IF($W$4=2011,VLOOKUP(X27,$M$6:$N$27,2,0),IF($W$4=2012,VLOOKUP(X27,$M$6:$O$27,3,0),IF($W$4=2013,VLOOKUP(X27,$M$6:$P$27,4,0),IF($W$4=2014,VLOOKUP(X27,$M$6:$Q$28,5,0),IF($W$4=2015,VLOOKUP(X27,$M$6:$R$27,6,0),IF($W$4=2016,VLOOKUP(X27,$M$6:$S$27,7,0),0))))))</f>
        <v>68385</v>
      </c>
      <c r="AB27" s="43"/>
      <c r="AC27" s="43"/>
    </row>
    <row r="28" spans="3:29">
      <c r="C28" s="31" t="s">
        <v>49</v>
      </c>
      <c r="D28" s="32">
        <f ca="1" t="shared" ref="D28:I28" si="1">SUM(D6:D27)</f>
        <v>202303</v>
      </c>
      <c r="E28" s="32">
        <f ca="1" t="shared" si="1"/>
        <v>188188</v>
      </c>
      <c r="F28" s="32">
        <f ca="1" t="shared" si="1"/>
        <v>194215</v>
      </c>
      <c r="G28" s="32">
        <f ca="1" t="shared" si="1"/>
        <v>201581</v>
      </c>
      <c r="H28" s="32">
        <f ca="1" t="shared" si="1"/>
        <v>204533</v>
      </c>
      <c r="I28" s="32">
        <f ca="1" t="shared" si="1"/>
        <v>202454</v>
      </c>
      <c r="J28" s="32">
        <f ca="1" t="shared" ref="J28" si="2">SUM(D28:I28)</f>
        <v>1193274</v>
      </c>
      <c r="M28" s="31" t="s">
        <v>49</v>
      </c>
      <c r="N28" s="32">
        <f ca="1" t="shared" ref="N28:T28" si="3">SUM(N6:N27)</f>
        <v>412611</v>
      </c>
      <c r="O28" s="32">
        <f ca="1" t="shared" si="3"/>
        <v>419155</v>
      </c>
      <c r="P28" s="32">
        <f ca="1" t="shared" si="3"/>
        <v>425897</v>
      </c>
      <c r="Q28" s="32">
        <f ca="1" t="shared" si="3"/>
        <v>423910</v>
      </c>
      <c r="R28" s="32">
        <f ca="1" t="shared" si="3"/>
        <v>428383</v>
      </c>
      <c r="S28" s="32">
        <f ca="1" t="shared" si="3"/>
        <v>432173</v>
      </c>
      <c r="T28" s="32">
        <f t="shared" si="3"/>
        <v>5173473</v>
      </c>
      <c r="V28" s="49"/>
      <c r="W28" s="43"/>
      <c r="X28" s="47" t="s">
        <v>49</v>
      </c>
      <c r="Y28" s="52">
        <f ca="1">SUM(Y6:Y27)</f>
        <v>188188</v>
      </c>
      <c r="Z28" s="52"/>
      <c r="AA28" s="52">
        <f ca="1">SUM(AA6:AA27)</f>
        <v>419155</v>
      </c>
      <c r="AB28" s="53">
        <f ca="1">Y28/AA28</f>
        <v>0.448969951449941</v>
      </c>
      <c r="AC28" s="43"/>
    </row>
    <row r="29" spans="3:29">
      <c r="C29" s="33"/>
      <c r="D29" s="34">
        <f ca="1">D25/N7</f>
        <v>0.380885190197829</v>
      </c>
      <c r="E29" s="35"/>
      <c r="F29" s="34"/>
      <c r="G29" s="34"/>
      <c r="H29" s="34"/>
      <c r="I29" s="34"/>
      <c r="V29" s="49"/>
      <c r="W29" s="43"/>
      <c r="X29" s="43"/>
      <c r="Y29" s="43"/>
      <c r="Z29" s="43"/>
      <c r="AA29" s="43"/>
      <c r="AB29" s="43"/>
      <c r="AC29" s="43"/>
    </row>
    <row r="30" spans="3:28">
      <c r="C30" s="33"/>
      <c r="D30" s="34"/>
      <c r="E30" s="34"/>
      <c r="F30" s="34"/>
      <c r="G30" s="34"/>
      <c r="H30" s="34"/>
      <c r="I30" s="34"/>
      <c r="V30" s="40"/>
      <c r="W30" s="40"/>
      <c r="X30" s="40"/>
      <c r="Y30" s="40"/>
      <c r="Z30" s="40"/>
      <c r="AA30" s="40"/>
      <c r="AB30" s="40"/>
    </row>
    <row r="31" ht="23.25" spans="3:28">
      <c r="C31" s="30" t="s">
        <v>87</v>
      </c>
      <c r="D31" s="34"/>
      <c r="E31" s="34"/>
      <c r="F31" s="34"/>
      <c r="G31" s="34"/>
      <c r="H31" s="34"/>
      <c r="I31" s="34"/>
      <c r="V31" s="40"/>
      <c r="W31" s="40"/>
      <c r="X31" s="40"/>
      <c r="Y31" s="40"/>
      <c r="Z31" s="40"/>
      <c r="AA31" s="40"/>
      <c r="AB31" s="40"/>
    </row>
    <row r="32" spans="3:28">
      <c r="C32" s="33"/>
      <c r="D32" s="34"/>
      <c r="E32" s="34"/>
      <c r="F32" s="34"/>
      <c r="G32" s="34"/>
      <c r="H32" s="34"/>
      <c r="I32" s="34"/>
      <c r="K32" s="40"/>
      <c r="L32" s="40"/>
      <c r="M32" s="40"/>
      <c r="N32" s="40"/>
      <c r="O32" s="40"/>
      <c r="P32" s="40"/>
      <c r="V32" s="40"/>
      <c r="W32" s="40"/>
      <c r="X32" s="40"/>
      <c r="Y32" s="40"/>
      <c r="Z32" s="40"/>
      <c r="AA32" s="40"/>
      <c r="AB32" s="40"/>
    </row>
    <row r="33" spans="3:28">
      <c r="C33" s="33"/>
      <c r="D33" s="34"/>
      <c r="E33" s="34"/>
      <c r="F33" s="34"/>
      <c r="G33" s="34"/>
      <c r="H33" s="34"/>
      <c r="I33" s="34"/>
      <c r="K33" s="40"/>
      <c r="L33" s="41"/>
      <c r="M33" s="41"/>
      <c r="N33" s="41"/>
      <c r="O33" s="41"/>
      <c r="P33" s="40"/>
      <c r="V33" s="40"/>
      <c r="W33" s="40"/>
      <c r="X33" s="40"/>
      <c r="Y33" s="40"/>
      <c r="Z33" s="40"/>
      <c r="AA33" s="40"/>
      <c r="AB33" s="40"/>
    </row>
    <row r="34" spans="3:28">
      <c r="C34" s="2" t="s">
        <v>72</v>
      </c>
      <c r="D34" s="2">
        <v>2011</v>
      </c>
      <c r="E34" s="2">
        <v>2012</v>
      </c>
      <c r="F34" s="2">
        <v>2013</v>
      </c>
      <c r="G34" s="2">
        <v>2014</v>
      </c>
      <c r="H34" s="2">
        <v>2015</v>
      </c>
      <c r="I34" s="2">
        <v>2016</v>
      </c>
      <c r="J34" s="2" t="s">
        <v>49</v>
      </c>
      <c r="K34" s="40"/>
      <c r="L34" s="42" t="s">
        <v>72</v>
      </c>
      <c r="M34" s="42" t="s">
        <v>88</v>
      </c>
      <c r="N34" s="42" t="s">
        <v>89</v>
      </c>
      <c r="O34" s="43"/>
      <c r="P34" s="40"/>
      <c r="V34" s="40"/>
      <c r="W34" s="40"/>
      <c r="X34" s="40"/>
      <c r="Y34" s="40"/>
      <c r="Z34" s="40"/>
      <c r="AA34" s="40"/>
      <c r="AB34" s="40"/>
    </row>
    <row r="35" spans="3:28">
      <c r="C35" s="7" t="s">
        <v>63</v>
      </c>
      <c r="D35" s="34">
        <f ca="1" t="shared" ref="D35:D56" si="4">VLOOKUP(C35,$C$6:$D$27,2,0)/VLOOKUP(C35,$M$6:$N$27,2,0)</f>
        <v>0.341504779525131</v>
      </c>
      <c r="E35" s="34">
        <f ca="1" t="shared" ref="E35:E56" si="5">VLOOKUP(C35,$C$6:$E$27,3,0)/VLOOKUP(C35,$M$6:$O$27,3,0)</f>
        <v>0.292481854296723</v>
      </c>
      <c r="F35" s="34">
        <f ca="1" t="shared" ref="F35:F56" si="6">VLOOKUP(C35,$C$6:$F$27,4,0)/VLOOKUP(C35,$M$6:$P$27,4,0)</f>
        <v>0.292361111111111</v>
      </c>
      <c r="G35" s="34">
        <f ca="1" t="shared" ref="G35:G56" si="7">VLOOKUP(C35,$C$6:$G$27,5,0)/VLOOKUP(C35,$M$6:$Q$27,5,0)</f>
        <v>0.309188348171839</v>
      </c>
      <c r="H35" s="34">
        <f ca="1" t="shared" ref="H35:H56" si="8">VLOOKUP(C35,$C$6:$H$27,6,0)/VLOOKUP(C35,$M$6:$R$27,6,0)</f>
        <v>0.315834134751372</v>
      </c>
      <c r="I35" s="34">
        <f ca="1" t="shared" ref="I35:I56" si="9">VLOOKUP(C35,$C$6:$I$27,7,0)/VLOOKUP(C35,$M$6:$S$27,7,0)</f>
        <v>0.302584051125313</v>
      </c>
      <c r="J35" s="34">
        <f ca="1" t="shared" ref="J35:J56" si="10">VLOOKUP(C35,$C$6:$J$27,8,0)/VLOOKUP(C35,$M$6:$T$27,8,0)</f>
        <v>0.15170218233385</v>
      </c>
      <c r="K35" s="40"/>
      <c r="L35" s="44" t="s">
        <v>63</v>
      </c>
      <c r="M35" s="45">
        <f ca="1">IF($W$4=2011,D35,IF($W$4=2012,E35,IF($W$4=2013,F35,IF($W$4=2014,G35,IF($W$4=2015,H35,IF($W$4=2016,I35,0))))))</f>
        <v>0.292481854296723</v>
      </c>
      <c r="N35" s="46">
        <v>0.593</v>
      </c>
      <c r="O35" s="43"/>
      <c r="P35" s="40"/>
      <c r="V35" s="40"/>
      <c r="W35" s="40"/>
      <c r="X35" s="40"/>
      <c r="Y35" s="40"/>
      <c r="Z35" s="40"/>
      <c r="AA35" s="40"/>
      <c r="AB35" s="40"/>
    </row>
    <row r="36" spans="3:28">
      <c r="C36" s="7" t="s">
        <v>70</v>
      </c>
      <c r="D36" s="34">
        <f ca="1" t="shared" si="4"/>
        <v>0.35260763910524</v>
      </c>
      <c r="E36" s="34">
        <f ca="1" t="shared" si="5"/>
        <v>0.324878222644648</v>
      </c>
      <c r="F36" s="34">
        <f ca="1" t="shared" si="6"/>
        <v>0.313908709933175</v>
      </c>
      <c r="G36" s="34">
        <f ca="1" t="shared" si="7"/>
        <v>0.330495862848979</v>
      </c>
      <c r="H36" s="34">
        <f ca="1" t="shared" si="8"/>
        <v>0.313094886195684</v>
      </c>
      <c r="I36" s="34">
        <f ca="1" t="shared" si="9"/>
        <v>0.323095895237536</v>
      </c>
      <c r="J36" s="34">
        <f ca="1" t="shared" si="10"/>
        <v>0.160230779682071</v>
      </c>
      <c r="K36" s="40"/>
      <c r="L36" s="44" t="s">
        <v>70</v>
      </c>
      <c r="M36" s="45">
        <f ca="1" t="shared" ref="M36:M56" si="11">IF($W$4=2011,D36,IF($W$4=2012,E36,IF($W$4=2013,F36,IF($W$4=2014,G36,IF($W$4=2015,H36,IF($W$4=2016,I36,0))))))</f>
        <v>0.324878222644648</v>
      </c>
      <c r="N36" s="46">
        <v>0.593</v>
      </c>
      <c r="O36" s="43"/>
      <c r="P36" s="40"/>
      <c r="V36" s="40"/>
      <c r="W36" s="40"/>
      <c r="X36" s="40"/>
      <c r="Y36" s="40"/>
      <c r="Z36" s="40"/>
      <c r="AA36" s="40"/>
      <c r="AB36" s="40"/>
    </row>
    <row r="37" spans="3:28">
      <c r="C37" s="7" t="s">
        <v>57</v>
      </c>
      <c r="D37" s="34">
        <f ca="1" t="shared" si="4"/>
        <v>0.375696926375983</v>
      </c>
      <c r="E37" s="34">
        <f ca="1" t="shared" si="5"/>
        <v>0.328025926447795</v>
      </c>
      <c r="F37" s="34">
        <f ca="1" t="shared" si="6"/>
        <v>0.345294967225864</v>
      </c>
      <c r="G37" s="34">
        <f ca="1" t="shared" si="7"/>
        <v>0.367915710765571</v>
      </c>
      <c r="H37" s="34">
        <f ca="1" t="shared" si="8"/>
        <v>0.366262422098703</v>
      </c>
      <c r="I37" s="34">
        <f ca="1" t="shared" si="9"/>
        <v>0.368556628867423</v>
      </c>
      <c r="J37" s="34">
        <f ca="1" t="shared" si="10"/>
        <v>0.175573396076413</v>
      </c>
      <c r="K37" s="40"/>
      <c r="L37" s="44" t="s">
        <v>57</v>
      </c>
      <c r="M37" s="45">
        <f ca="1" t="shared" si="11"/>
        <v>0.328025926447795</v>
      </c>
      <c r="N37" s="46">
        <v>0.593</v>
      </c>
      <c r="O37" s="43"/>
      <c r="P37" s="40"/>
      <c r="V37" s="40"/>
      <c r="W37" s="40"/>
      <c r="X37" s="40"/>
      <c r="Y37" s="40"/>
      <c r="Z37" s="40"/>
      <c r="AA37" s="40"/>
      <c r="AB37" s="40"/>
    </row>
    <row r="38" spans="3:16">
      <c r="C38" s="7" t="s">
        <v>50</v>
      </c>
      <c r="D38" s="34">
        <f ca="1" t="shared" si="4"/>
        <v>0.380885190197829</v>
      </c>
      <c r="E38" s="34">
        <f ca="1" t="shared" si="5"/>
        <v>0.327111035344926</v>
      </c>
      <c r="F38" s="34">
        <f ca="1" t="shared" si="6"/>
        <v>0.34863054021474</v>
      </c>
      <c r="G38" s="34">
        <f ca="1" t="shared" si="7"/>
        <v>0.372741338343372</v>
      </c>
      <c r="H38" s="34">
        <f ca="1" t="shared" si="8"/>
        <v>0.362638553890349</v>
      </c>
      <c r="I38" s="34">
        <f ca="1" t="shared" si="9"/>
        <v>0.343215386250133</v>
      </c>
      <c r="J38" s="34">
        <f ca="1" t="shared" si="10"/>
        <v>0.174810467551227</v>
      </c>
      <c r="K38" s="40"/>
      <c r="L38" s="44" t="s">
        <v>50</v>
      </c>
      <c r="M38" s="45">
        <f ca="1" t="shared" si="11"/>
        <v>0.327111035344926</v>
      </c>
      <c r="N38" s="46">
        <v>0.593</v>
      </c>
      <c r="O38" s="43"/>
      <c r="P38" s="40"/>
    </row>
    <row r="39" spans="3:16">
      <c r="C39" s="7" t="s">
        <v>61</v>
      </c>
      <c r="D39" s="34">
        <f ca="1" t="shared" si="4"/>
        <v>0.379493076038594</v>
      </c>
      <c r="E39" s="34">
        <f ca="1" t="shared" si="5"/>
        <v>0.356155868993545</v>
      </c>
      <c r="F39" s="34">
        <f ca="1" t="shared" si="6"/>
        <v>0.369843592792463</v>
      </c>
      <c r="G39" s="34">
        <f ca="1" t="shared" si="7"/>
        <v>0.381590746054519</v>
      </c>
      <c r="H39" s="34">
        <f ca="1" t="shared" si="8"/>
        <v>0.389205792014041</v>
      </c>
      <c r="I39" s="34">
        <f ca="1" t="shared" si="9"/>
        <v>0.377949027036335</v>
      </c>
      <c r="J39" s="34">
        <f ca="1" t="shared" si="10"/>
        <v>0.183818236744254</v>
      </c>
      <c r="K39" s="40"/>
      <c r="L39" s="44" t="s">
        <v>61</v>
      </c>
      <c r="M39" s="45">
        <f ca="1" t="shared" si="11"/>
        <v>0.356155868993545</v>
      </c>
      <c r="N39" s="46">
        <v>0.593</v>
      </c>
      <c r="O39" s="43"/>
      <c r="P39" s="40"/>
    </row>
    <row r="40" spans="3:16">
      <c r="C40" s="7" t="s">
        <v>52</v>
      </c>
      <c r="D40" s="34">
        <f ca="1" t="shared" si="4"/>
        <v>0.387715426649853</v>
      </c>
      <c r="E40" s="34">
        <f ca="1" t="shared" si="5"/>
        <v>0.366394997180788</v>
      </c>
      <c r="F40" s="34">
        <f ca="1" t="shared" si="6"/>
        <v>0.35665</v>
      </c>
      <c r="G40" s="34">
        <f ca="1" t="shared" si="7"/>
        <v>0.385844633765186</v>
      </c>
      <c r="H40" s="34">
        <f ca="1" t="shared" si="8"/>
        <v>0.389290161892902</v>
      </c>
      <c r="I40" s="34">
        <f ca="1" t="shared" si="9"/>
        <v>0.389020187099951</v>
      </c>
      <c r="J40" s="34">
        <f ca="1" t="shared" si="10"/>
        <v>0.186130526977146</v>
      </c>
      <c r="K40" s="40"/>
      <c r="L40" s="44" t="s">
        <v>52</v>
      </c>
      <c r="M40" s="45">
        <f ca="1" t="shared" si="11"/>
        <v>0.366394997180788</v>
      </c>
      <c r="N40" s="46">
        <v>0.593</v>
      </c>
      <c r="O40" s="43"/>
      <c r="P40" s="40"/>
    </row>
    <row r="41" spans="3:16">
      <c r="C41" s="7" t="s">
        <v>68</v>
      </c>
      <c r="D41" s="34">
        <f ca="1" t="shared" si="4"/>
        <v>0.414755943170629</v>
      </c>
      <c r="E41" s="34">
        <f ca="1" t="shared" si="5"/>
        <v>0.399270861463678</v>
      </c>
      <c r="F41" s="34">
        <f ca="1" t="shared" si="6"/>
        <v>0.395166515485292</v>
      </c>
      <c r="G41" s="34">
        <f ca="1" t="shared" si="7"/>
        <v>0.437695126917334</v>
      </c>
      <c r="H41" s="34">
        <f ca="1" t="shared" si="8"/>
        <v>0.426665768375665</v>
      </c>
      <c r="I41" s="34">
        <f ca="1" t="shared" si="9"/>
        <v>0.415607013786642</v>
      </c>
      <c r="J41" s="34">
        <f ca="1" t="shared" si="10"/>
        <v>0.20365791739332</v>
      </c>
      <c r="K41" s="40"/>
      <c r="L41" s="44" t="s">
        <v>68</v>
      </c>
      <c r="M41" s="45">
        <f ca="1" t="shared" si="11"/>
        <v>0.399270861463678</v>
      </c>
      <c r="N41" s="46">
        <v>0.593</v>
      </c>
      <c r="O41" s="43"/>
      <c r="P41" s="40"/>
    </row>
    <row r="42" spans="3:16">
      <c r="C42" s="7" t="s">
        <v>59</v>
      </c>
      <c r="D42" s="34">
        <f ca="1" t="shared" si="4"/>
        <v>0.497359671425777</v>
      </c>
      <c r="E42" s="34">
        <f ca="1" t="shared" si="5"/>
        <v>0.436088786835055</v>
      </c>
      <c r="F42" s="34">
        <f ca="1" t="shared" si="6"/>
        <v>0.432824641887464</v>
      </c>
      <c r="G42" s="34">
        <f ca="1" t="shared" si="7"/>
        <v>0.434521011563411</v>
      </c>
      <c r="H42" s="34">
        <f ca="1" t="shared" si="8"/>
        <v>0.445971036019309</v>
      </c>
      <c r="I42" s="34">
        <f ca="1" t="shared" si="9"/>
        <v>0.418156808803301</v>
      </c>
      <c r="J42" s="34">
        <f ca="1" t="shared" si="10"/>
        <v>0.218358734967694</v>
      </c>
      <c r="K42" s="40"/>
      <c r="L42" s="44" t="s">
        <v>59</v>
      </c>
      <c r="M42" s="45">
        <f ca="1" t="shared" si="11"/>
        <v>0.436088786835055</v>
      </c>
      <c r="N42" s="46">
        <v>0.593</v>
      </c>
      <c r="O42" s="43"/>
      <c r="P42" s="40"/>
    </row>
    <row r="43" spans="3:16">
      <c r="C43" s="7" t="s">
        <v>58</v>
      </c>
      <c r="D43" s="34">
        <f ca="1" t="shared" si="4"/>
        <v>0.500861623298294</v>
      </c>
      <c r="E43" s="34">
        <f ca="1" t="shared" si="5"/>
        <v>0.438621986664387</v>
      </c>
      <c r="F43" s="34">
        <f ca="1" t="shared" si="6"/>
        <v>0.443436227951153</v>
      </c>
      <c r="G43" s="34">
        <f ca="1" t="shared" si="7"/>
        <v>0.443483275663206</v>
      </c>
      <c r="H43" s="34">
        <f ca="1" t="shared" si="8"/>
        <v>0.450113562621674</v>
      </c>
      <c r="I43" s="34">
        <f ca="1" t="shared" si="9"/>
        <v>0.444746739217412</v>
      </c>
      <c r="J43" s="34">
        <f ca="1" t="shared" si="10"/>
        <v>0.223011955237842</v>
      </c>
      <c r="K43" s="40"/>
      <c r="L43" s="44" t="s">
        <v>58</v>
      </c>
      <c r="M43" s="45">
        <f ca="1" t="shared" si="11"/>
        <v>0.438621986664387</v>
      </c>
      <c r="N43" s="46">
        <v>0.593</v>
      </c>
      <c r="O43" s="43"/>
      <c r="P43" s="40"/>
    </row>
    <row r="44" spans="3:16">
      <c r="C44" s="7" t="s">
        <v>66</v>
      </c>
      <c r="D44" s="34">
        <f ca="1" t="shared" si="4"/>
        <v>0.466905860242611</v>
      </c>
      <c r="E44" s="34">
        <f ca="1" t="shared" si="5"/>
        <v>0.436850478995295</v>
      </c>
      <c r="F44" s="34">
        <f ca="1" t="shared" si="6"/>
        <v>0.449307442063253</v>
      </c>
      <c r="G44" s="34">
        <f ca="1" t="shared" si="7"/>
        <v>0.47468183960676</v>
      </c>
      <c r="H44" s="34">
        <f ca="1" t="shared" si="8"/>
        <v>0.478008796481407</v>
      </c>
      <c r="I44" s="34">
        <f ca="1" t="shared" si="9"/>
        <v>0.475084919038354</v>
      </c>
      <c r="J44" s="34">
        <f ca="1" t="shared" si="10"/>
        <v>0.228114584767938</v>
      </c>
      <c r="K44" s="40"/>
      <c r="L44" s="44" t="s">
        <v>66</v>
      </c>
      <c r="M44" s="45">
        <f ca="1" t="shared" si="11"/>
        <v>0.436850478995295</v>
      </c>
      <c r="N44" s="46">
        <v>0.593</v>
      </c>
      <c r="O44" s="43"/>
      <c r="P44" s="40"/>
    </row>
    <row r="45" spans="3:16">
      <c r="C45" s="7" t="s">
        <v>62</v>
      </c>
      <c r="D45" s="34">
        <f ca="1" t="shared" si="4"/>
        <v>0.468518434331954</v>
      </c>
      <c r="E45" s="34">
        <f ca="1" t="shared" si="5"/>
        <v>0.432071766491118</v>
      </c>
      <c r="F45" s="34">
        <f ca="1" t="shared" si="6"/>
        <v>0.461814835911142</v>
      </c>
      <c r="G45" s="34">
        <f ca="1" t="shared" si="7"/>
        <v>0.477545107335704</v>
      </c>
      <c r="H45" s="34">
        <f ca="1" t="shared" si="8"/>
        <v>0.479728554028189</v>
      </c>
      <c r="I45" s="34">
        <f ca="1" t="shared" si="9"/>
        <v>0.481377462841341</v>
      </c>
      <c r="J45" s="34">
        <f ca="1" t="shared" si="10"/>
        <v>0.229493283854176</v>
      </c>
      <c r="K45" s="40"/>
      <c r="L45" s="44" t="s">
        <v>62</v>
      </c>
      <c r="M45" s="45">
        <f ca="1" t="shared" si="11"/>
        <v>0.432071766491118</v>
      </c>
      <c r="N45" s="46">
        <v>0.593</v>
      </c>
      <c r="O45" s="43"/>
      <c r="P45" s="40"/>
    </row>
    <row r="46" spans="3:16">
      <c r="C46" s="7" t="s">
        <v>51</v>
      </c>
      <c r="D46" s="34">
        <f ca="1" t="shared" si="4"/>
        <v>0.504873534855028</v>
      </c>
      <c r="E46" s="34">
        <f ca="1" t="shared" si="5"/>
        <v>0.483704974271012</v>
      </c>
      <c r="F46" s="34">
        <f ca="1" t="shared" si="6"/>
        <v>0.48594719552257</v>
      </c>
      <c r="G46" s="34">
        <f ca="1" t="shared" si="7"/>
        <v>0.46472931802203</v>
      </c>
      <c r="H46" s="34">
        <f ca="1" t="shared" si="8"/>
        <v>0.459742351046699</v>
      </c>
      <c r="I46" s="34">
        <f ca="1" t="shared" si="9"/>
        <v>0.450865091032455</v>
      </c>
      <c r="J46" s="34">
        <f ca="1" t="shared" si="10"/>
        <v>0.233505009103035</v>
      </c>
      <c r="K46" s="40"/>
      <c r="L46" s="44" t="s">
        <v>51</v>
      </c>
      <c r="M46" s="45">
        <f ca="1" t="shared" si="11"/>
        <v>0.483704974271012</v>
      </c>
      <c r="N46" s="46">
        <v>0.593</v>
      </c>
      <c r="O46" s="43"/>
      <c r="P46" s="40"/>
    </row>
    <row r="47" spans="3:16">
      <c r="C47" s="7" t="s">
        <v>53</v>
      </c>
      <c r="D47" s="34">
        <f ca="1" t="shared" si="4"/>
        <v>0.513102206213417</v>
      </c>
      <c r="E47" s="34">
        <f ca="1" t="shared" si="5"/>
        <v>0.46461319326983</v>
      </c>
      <c r="F47" s="34">
        <f ca="1" t="shared" si="6"/>
        <v>0.455377574370709</v>
      </c>
      <c r="G47" s="34">
        <f ca="1" t="shared" si="7"/>
        <v>0.482059005936033</v>
      </c>
      <c r="H47" s="34">
        <f ca="1" t="shared" si="8"/>
        <v>0.490648871718325</v>
      </c>
      <c r="I47" s="34">
        <f ca="1" t="shared" si="9"/>
        <v>0.466469256227138</v>
      </c>
      <c r="J47" s="34">
        <f ca="1" t="shared" si="10"/>
        <v>0.236151306700019</v>
      </c>
      <c r="K47" s="40"/>
      <c r="L47" s="44" t="s">
        <v>53</v>
      </c>
      <c r="M47" s="45">
        <f ca="1" t="shared" si="11"/>
        <v>0.46461319326983</v>
      </c>
      <c r="N47" s="46">
        <v>0.593</v>
      </c>
      <c r="O47" s="43"/>
      <c r="P47" s="40"/>
    </row>
    <row r="48" spans="3:16">
      <c r="C48" s="7" t="s">
        <v>69</v>
      </c>
      <c r="D48" s="34">
        <f ca="1" t="shared" si="4"/>
        <v>0.601226148653303</v>
      </c>
      <c r="E48" s="34">
        <f ca="1" t="shared" si="5"/>
        <v>0.536686632180779</v>
      </c>
      <c r="F48" s="34">
        <f ca="1" t="shared" si="6"/>
        <v>0.533422999327505</v>
      </c>
      <c r="G48" s="34">
        <f ca="1" t="shared" si="7"/>
        <v>0.511807924429284</v>
      </c>
      <c r="H48" s="34">
        <f ca="1" t="shared" si="8"/>
        <v>0.52266270661157</v>
      </c>
      <c r="I48" s="34">
        <f ca="1" t="shared" si="9"/>
        <v>0.501878621919378</v>
      </c>
      <c r="J48" s="34">
        <f ca="1" t="shared" si="10"/>
        <v>0.262886457726978</v>
      </c>
      <c r="K48" s="40"/>
      <c r="L48" s="44" t="s">
        <v>69</v>
      </c>
      <c r="M48" s="45">
        <f ca="1" t="shared" si="11"/>
        <v>0.536686632180779</v>
      </c>
      <c r="N48" s="46">
        <v>0.593</v>
      </c>
      <c r="O48" s="43"/>
      <c r="P48" s="40"/>
    </row>
    <row r="49" spans="3:16">
      <c r="C49" s="7" t="s">
        <v>60</v>
      </c>
      <c r="D49" s="34">
        <f ca="1" t="shared" si="4"/>
        <v>0.56332373882745</v>
      </c>
      <c r="E49" s="34">
        <f ca="1" t="shared" si="5"/>
        <v>0.520701702222553</v>
      </c>
      <c r="F49" s="34">
        <f ca="1" t="shared" si="6"/>
        <v>0.504595185995624</v>
      </c>
      <c r="G49" s="34">
        <f ca="1" t="shared" si="7"/>
        <v>0.536038764385221</v>
      </c>
      <c r="H49" s="34">
        <f ca="1" t="shared" si="8"/>
        <v>0.542844223377798</v>
      </c>
      <c r="I49" s="34">
        <f ca="1" t="shared" si="9"/>
        <v>0.538149898717083</v>
      </c>
      <c r="J49" s="34">
        <f ca="1" t="shared" si="10"/>
        <v>0.264834138466392</v>
      </c>
      <c r="K49" s="40"/>
      <c r="L49" s="44" t="s">
        <v>60</v>
      </c>
      <c r="M49" s="45">
        <f ca="1" t="shared" si="11"/>
        <v>0.520701702222553</v>
      </c>
      <c r="N49" s="46">
        <v>0.593</v>
      </c>
      <c r="O49" s="43"/>
      <c r="P49" s="40"/>
    </row>
    <row r="50" spans="3:16">
      <c r="C50" s="7" t="s">
        <v>65</v>
      </c>
      <c r="D50" s="34">
        <f ca="1" t="shared" si="4"/>
        <v>0.554906832298137</v>
      </c>
      <c r="E50" s="34">
        <f ca="1" t="shared" si="5"/>
        <v>0.537910595208694</v>
      </c>
      <c r="F50" s="34">
        <f ca="1" t="shared" si="6"/>
        <v>0.547630739013013</v>
      </c>
      <c r="G50" s="34">
        <f ca="1" t="shared" si="7"/>
        <v>0.562154865627684</v>
      </c>
      <c r="H50" s="34">
        <f ca="1" t="shared" si="8"/>
        <v>0.559922131646186</v>
      </c>
      <c r="I50" s="34">
        <f ca="1" t="shared" si="9"/>
        <v>0.555138603074688</v>
      </c>
      <c r="J50" s="34">
        <f ca="1" t="shared" si="10"/>
        <v>0.270030443679193</v>
      </c>
      <c r="K50" s="40"/>
      <c r="L50" s="44" t="s">
        <v>65</v>
      </c>
      <c r="M50" s="45">
        <f ca="1" t="shared" si="11"/>
        <v>0.537910595208694</v>
      </c>
      <c r="N50" s="46">
        <v>0.593</v>
      </c>
      <c r="O50" s="43"/>
      <c r="P50" s="40"/>
    </row>
    <row r="51" spans="3:16">
      <c r="C51" s="7" t="s">
        <v>67</v>
      </c>
      <c r="D51" s="34">
        <f ca="1" t="shared" si="4"/>
        <v>0.595651264896508</v>
      </c>
      <c r="E51" s="34">
        <f ca="1" t="shared" si="5"/>
        <v>0.546361746361746</v>
      </c>
      <c r="F51" s="34">
        <f ca="1" t="shared" si="6"/>
        <v>0.565949968989043</v>
      </c>
      <c r="G51" s="34">
        <f ca="1" t="shared" si="7"/>
        <v>0.578995807342264</v>
      </c>
      <c r="H51" s="34">
        <f ca="1" t="shared" si="8"/>
        <v>0.565999595714574</v>
      </c>
      <c r="I51" s="34">
        <f ca="1" t="shared" si="9"/>
        <v>0.536214485794318</v>
      </c>
      <c r="J51" s="34">
        <f ca="1" t="shared" si="10"/>
        <v>0.279137529137529</v>
      </c>
      <c r="K51" s="40"/>
      <c r="L51" s="44" t="s">
        <v>67</v>
      </c>
      <c r="M51" s="45">
        <f ca="1" t="shared" si="11"/>
        <v>0.546361746361746</v>
      </c>
      <c r="N51" s="46">
        <v>0.593</v>
      </c>
      <c r="O51" s="43"/>
      <c r="P51" s="40"/>
    </row>
    <row r="52" spans="3:16">
      <c r="C52" s="7" t="s">
        <v>55</v>
      </c>
      <c r="D52" s="34">
        <f ca="1" t="shared" si="4"/>
        <v>0.619766281049974</v>
      </c>
      <c r="E52" s="34">
        <f ca="1" t="shared" si="5"/>
        <v>0.574047049209036</v>
      </c>
      <c r="F52" s="34">
        <f ca="1" t="shared" si="6"/>
        <v>0.572912435443626</v>
      </c>
      <c r="G52" s="34">
        <f ca="1" t="shared" si="7"/>
        <v>0.562693020382952</v>
      </c>
      <c r="H52" s="34">
        <f ca="1" t="shared" si="8"/>
        <v>0.586403678874176</v>
      </c>
      <c r="I52" s="34">
        <f ca="1" t="shared" si="9"/>
        <v>0.571569757865261</v>
      </c>
      <c r="J52" s="34">
        <f ca="1" t="shared" si="10"/>
        <v>0.285365671919824</v>
      </c>
      <c r="K52" s="40"/>
      <c r="L52" s="44" t="s">
        <v>55</v>
      </c>
      <c r="M52" s="45">
        <f ca="1" t="shared" si="11"/>
        <v>0.574047049209036</v>
      </c>
      <c r="N52" s="46">
        <v>0.593</v>
      </c>
      <c r="O52" s="43"/>
      <c r="P52" s="40"/>
    </row>
    <row r="53" spans="3:16">
      <c r="C53" s="7" t="s">
        <v>64</v>
      </c>
      <c r="D53" s="34">
        <f ca="1" t="shared" si="4"/>
        <v>0.628009828009828</v>
      </c>
      <c r="E53" s="34">
        <f ca="1" t="shared" si="5"/>
        <v>0.569713870029098</v>
      </c>
      <c r="F53" s="34">
        <f ca="1" t="shared" si="6"/>
        <v>0.581258975586405</v>
      </c>
      <c r="G53" s="34">
        <f ca="1" t="shared" si="7"/>
        <v>0.562899291439192</v>
      </c>
      <c r="H53" s="34">
        <f ca="1" t="shared" si="8"/>
        <v>0.567082237218346</v>
      </c>
      <c r="I53" s="34">
        <f ca="1" t="shared" si="9"/>
        <v>0.568829113924051</v>
      </c>
      <c r="J53" s="34">
        <f ca="1" t="shared" si="10"/>
        <v>0.285453067858594</v>
      </c>
      <c r="K53" s="40"/>
      <c r="L53" s="44" t="s">
        <v>64</v>
      </c>
      <c r="M53" s="45">
        <f ca="1" t="shared" si="11"/>
        <v>0.569713870029098</v>
      </c>
      <c r="N53" s="46">
        <v>0.593</v>
      </c>
      <c r="O53" s="43"/>
      <c r="P53" s="40"/>
    </row>
    <row r="54" spans="3:16">
      <c r="C54" s="7" t="s">
        <v>71</v>
      </c>
      <c r="D54" s="34">
        <f ca="1" t="shared" si="4"/>
        <v>0.62291922200806</v>
      </c>
      <c r="E54" s="34">
        <f ca="1" t="shared" si="5"/>
        <v>0.570592408655552</v>
      </c>
      <c r="F54" s="34">
        <f ca="1" t="shared" si="6"/>
        <v>0.59418207936793</v>
      </c>
      <c r="G54" s="34">
        <f ca="1" t="shared" si="7"/>
        <v>0.577750568479972</v>
      </c>
      <c r="H54" s="34">
        <f ca="1" t="shared" si="8"/>
        <v>0.599723709203937</v>
      </c>
      <c r="I54" s="34">
        <f ca="1" t="shared" si="9"/>
        <v>0.59380349195481</v>
      </c>
      <c r="J54" s="34">
        <f ca="1" t="shared" si="10"/>
        <v>0.294106582164923</v>
      </c>
      <c r="K54" s="40"/>
      <c r="L54" s="44" t="s">
        <v>71</v>
      </c>
      <c r="M54" s="45">
        <f ca="1" t="shared" si="11"/>
        <v>0.570592408655552</v>
      </c>
      <c r="N54" s="46">
        <v>0.593</v>
      </c>
      <c r="O54" s="43"/>
      <c r="P54" s="40"/>
    </row>
    <row r="55" spans="3:16">
      <c r="C55" s="7" t="s">
        <v>54</v>
      </c>
      <c r="D55" s="34">
        <f ca="1" t="shared" si="4"/>
        <v>0.541425818882466</v>
      </c>
      <c r="E55" s="34">
        <f ca="1" t="shared" si="5"/>
        <v>0.551343570057582</v>
      </c>
      <c r="F55" s="34">
        <f ca="1" t="shared" si="6"/>
        <v>0.602294455066922</v>
      </c>
      <c r="G55" s="34">
        <f ca="1" t="shared" si="7"/>
        <v>0.630909527237821</v>
      </c>
      <c r="H55" s="34">
        <f ca="1" t="shared" si="8"/>
        <v>0.650464617583989</v>
      </c>
      <c r="I55" s="34">
        <f ca="1" t="shared" si="9"/>
        <v>0.643959173985284</v>
      </c>
      <c r="J55" s="34">
        <f ca="1" t="shared" si="10"/>
        <v>0.298544550940717</v>
      </c>
      <c r="K55" s="40"/>
      <c r="L55" s="44" t="s">
        <v>54</v>
      </c>
      <c r="M55" s="45">
        <f ca="1" t="shared" si="11"/>
        <v>0.551343570057582</v>
      </c>
      <c r="N55" s="46">
        <v>0.593</v>
      </c>
      <c r="O55" s="43"/>
      <c r="P55" s="40"/>
    </row>
    <row r="56" spans="3:16">
      <c r="C56" s="7" t="s">
        <v>56</v>
      </c>
      <c r="D56" s="34">
        <f ca="1" t="shared" si="4"/>
        <v>0.669639468690702</v>
      </c>
      <c r="E56" s="34">
        <f ca="1" t="shared" si="5"/>
        <v>0.632755721283907</v>
      </c>
      <c r="F56" s="34">
        <f ca="1" t="shared" si="6"/>
        <v>0.645675865705748</v>
      </c>
      <c r="G56" s="34">
        <f ca="1" t="shared" si="7"/>
        <v>0.692480647059711</v>
      </c>
      <c r="H56" s="34">
        <f ca="1" t="shared" si="8"/>
        <v>0.697450493550536</v>
      </c>
      <c r="I56" s="34">
        <f ca="1" t="shared" si="9"/>
        <v>0.691703694686226</v>
      </c>
      <c r="J56" s="34">
        <f ca="1" t="shared" si="10"/>
        <v>0.329164467298949</v>
      </c>
      <c r="K56" s="40"/>
      <c r="L56" s="44" t="s">
        <v>56</v>
      </c>
      <c r="M56" s="45">
        <f ca="1" t="shared" si="11"/>
        <v>0.632755721283907</v>
      </c>
      <c r="N56" s="46">
        <v>0.593</v>
      </c>
      <c r="O56" s="43"/>
      <c r="P56" s="40"/>
    </row>
    <row r="57" spans="3:16">
      <c r="C57" s="31" t="s">
        <v>49</v>
      </c>
      <c r="D57" s="36">
        <f ca="1" t="shared" ref="D57:J57" si="12">D28/N28</f>
        <v>0.490299579991808</v>
      </c>
      <c r="E57" s="36">
        <f ca="1" t="shared" si="12"/>
        <v>0.448969951449941</v>
      </c>
      <c r="F57" s="36">
        <f ca="1" t="shared" si="12"/>
        <v>0.456014012777737</v>
      </c>
      <c r="G57" s="36">
        <f ca="1" t="shared" si="12"/>
        <v>0.475527824302328</v>
      </c>
      <c r="H57" s="36">
        <f ca="1" t="shared" si="12"/>
        <v>0.477453587093792</v>
      </c>
      <c r="I57" s="36">
        <f ca="1" t="shared" si="12"/>
        <v>0.468455919273069</v>
      </c>
      <c r="J57" s="36">
        <f ca="1" t="shared" si="12"/>
        <v>0.230652407000095</v>
      </c>
      <c r="K57" s="40"/>
      <c r="L57" s="47" t="s">
        <v>49</v>
      </c>
      <c r="M57" s="48">
        <f ca="1">AA28</f>
        <v>419155</v>
      </c>
      <c r="N57" s="48">
        <v>0.593</v>
      </c>
      <c r="O57" s="43"/>
      <c r="P57" s="40"/>
    </row>
    <row r="58" spans="11:16">
      <c r="K58" s="40"/>
      <c r="L58" s="41"/>
      <c r="M58" s="41"/>
      <c r="N58" s="41"/>
      <c r="O58" s="41"/>
      <c r="P58" s="40"/>
    </row>
    <row r="60" ht="23.25" spans="3:3">
      <c r="C60" s="30" t="s">
        <v>79</v>
      </c>
    </row>
    <row r="61" ht="23.25" spans="3:3">
      <c r="C61" s="30" t="s">
        <v>80</v>
      </c>
    </row>
    <row r="62" ht="23.25" spans="3:13">
      <c r="C62" s="30" t="s">
        <v>81</v>
      </c>
      <c r="J62" s="40"/>
      <c r="K62" s="40"/>
      <c r="L62" s="40"/>
      <c r="M62" s="40"/>
    </row>
    <row r="63" spans="10:16">
      <c r="J63" s="40"/>
      <c r="K63" s="41"/>
      <c r="L63" s="41"/>
      <c r="M63" s="41"/>
      <c r="N63" s="41"/>
      <c r="O63" s="41"/>
      <c r="P63" s="41"/>
    </row>
    <row r="64" spans="3:16">
      <c r="C64" s="2" t="s">
        <v>82</v>
      </c>
      <c r="D64" s="2">
        <v>2011</v>
      </c>
      <c r="E64" s="2">
        <v>2012</v>
      </c>
      <c r="F64" s="2">
        <v>2013</v>
      </c>
      <c r="G64" s="2">
        <v>2014</v>
      </c>
      <c r="H64" s="2">
        <v>2015</v>
      </c>
      <c r="I64" s="2">
        <v>2016</v>
      </c>
      <c r="J64" s="2" t="s">
        <v>83</v>
      </c>
      <c r="K64" s="41"/>
      <c r="L64" s="42" t="s">
        <v>82</v>
      </c>
      <c r="M64" s="42" t="s">
        <v>90</v>
      </c>
      <c r="N64" s="41" t="s">
        <v>84</v>
      </c>
      <c r="O64" s="41" t="s">
        <v>91</v>
      </c>
      <c r="P64" s="41"/>
    </row>
    <row r="65" spans="3:16">
      <c r="C65" s="7" t="s">
        <v>54</v>
      </c>
      <c r="D65" s="54">
        <v>16235801.69</v>
      </c>
      <c r="E65" s="54">
        <v>17555505.53</v>
      </c>
      <c r="F65" s="54">
        <v>20380486.31</v>
      </c>
      <c r="G65" s="54">
        <v>23139491.17</v>
      </c>
      <c r="H65" s="54">
        <v>25968655.08</v>
      </c>
      <c r="I65" s="54">
        <v>27093217.09</v>
      </c>
      <c r="J65" s="4">
        <v>130373156.87</v>
      </c>
      <c r="K65" s="41"/>
      <c r="L65" s="44" t="s">
        <v>54</v>
      </c>
      <c r="M65" s="61">
        <f t="shared" ref="M65:M86" si="13">IF($W$4=2011,D65,IF($W$4=2012,E65,IF($W$4=2013,F65,IF($W$4=2014,G65,IF($W$4=2015,H65,IF($W$4=2016,I65,0))))))</f>
        <v>17555505.53</v>
      </c>
      <c r="N65" s="41">
        <f ca="1">VLOOKUP(L65,$X$6:$Y$27,2,0)</f>
        <v>2298</v>
      </c>
      <c r="O65" s="62">
        <f ca="1">M65/N65</f>
        <v>7639.4715100087</v>
      </c>
      <c r="P65" s="41"/>
    </row>
    <row r="66" spans="3:16">
      <c r="C66" s="7" t="s">
        <v>65</v>
      </c>
      <c r="D66" s="54">
        <v>20973076.31</v>
      </c>
      <c r="E66" s="54">
        <v>22036170.24</v>
      </c>
      <c r="F66" s="54">
        <v>24445139.38</v>
      </c>
      <c r="G66" s="54">
        <v>27558436.51</v>
      </c>
      <c r="H66" s="54">
        <v>31974897.44</v>
      </c>
      <c r="I66" s="54">
        <v>32639673.12</v>
      </c>
      <c r="J66" s="4">
        <v>159627393</v>
      </c>
      <c r="K66" s="41"/>
      <c r="L66" s="44" t="s">
        <v>65</v>
      </c>
      <c r="M66" s="61">
        <f t="shared" si="13"/>
        <v>22036170.24</v>
      </c>
      <c r="N66" s="41">
        <f ca="1" t="shared" ref="N66:N86" si="14">VLOOKUP(L66,$X$6:$Y$27,2,0)</f>
        <v>4356</v>
      </c>
      <c r="O66" s="62">
        <f ca="1" t="shared" ref="O66:O87" si="15">M66/N66</f>
        <v>5058.80859504132</v>
      </c>
      <c r="P66" s="41"/>
    </row>
    <row r="67" spans="3:16">
      <c r="C67" s="7" t="s">
        <v>71</v>
      </c>
      <c r="D67" s="54">
        <v>23240416.44</v>
      </c>
      <c r="E67" s="54">
        <v>24597127.75</v>
      </c>
      <c r="F67" s="54">
        <v>27457592.37</v>
      </c>
      <c r="G67" s="54">
        <v>31917970.3</v>
      </c>
      <c r="H67" s="54">
        <v>36860039.28</v>
      </c>
      <c r="I67" s="54">
        <v>37487169.02</v>
      </c>
      <c r="J67" s="4">
        <v>181560315.16</v>
      </c>
      <c r="K67" s="41"/>
      <c r="L67" s="44" t="s">
        <v>71</v>
      </c>
      <c r="M67" s="61">
        <f t="shared" si="13"/>
        <v>24597127.75</v>
      </c>
      <c r="N67" s="41">
        <f ca="1" t="shared" si="14"/>
        <v>3217</v>
      </c>
      <c r="O67" s="62">
        <f ca="1" t="shared" si="15"/>
        <v>7645.98313646254</v>
      </c>
      <c r="P67" s="41"/>
    </row>
    <row r="68" spans="3:16">
      <c r="C68" s="7" t="s">
        <v>59</v>
      </c>
      <c r="D68" s="54">
        <v>29809143.57</v>
      </c>
      <c r="E68" s="54">
        <v>31012324.16</v>
      </c>
      <c r="F68" s="54">
        <v>30548057.05</v>
      </c>
      <c r="G68" s="54">
        <v>34340432.99</v>
      </c>
      <c r="H68" s="54">
        <v>40269818.25</v>
      </c>
      <c r="I68" s="54">
        <v>42128278.54</v>
      </c>
      <c r="J68" s="4">
        <v>208108054.56</v>
      </c>
      <c r="K68" s="41"/>
      <c r="L68" s="44" t="s">
        <v>59</v>
      </c>
      <c r="M68" s="61">
        <f t="shared" si="13"/>
        <v>31012324.16</v>
      </c>
      <c r="N68" s="41">
        <f ca="1" t="shared" si="14"/>
        <v>4558</v>
      </c>
      <c r="O68" s="62">
        <f ca="1" t="shared" si="15"/>
        <v>6803.93246160597</v>
      </c>
      <c r="P68" s="41"/>
    </row>
    <row r="69" spans="3:16">
      <c r="C69" s="7" t="s">
        <v>51</v>
      </c>
      <c r="D69" s="54">
        <v>29530533.96</v>
      </c>
      <c r="E69" s="54">
        <v>31041017.69</v>
      </c>
      <c r="F69" s="54">
        <v>34834241.73</v>
      </c>
      <c r="G69" s="54">
        <v>41015849.24</v>
      </c>
      <c r="H69" s="54">
        <v>47606282.64</v>
      </c>
      <c r="I69" s="54">
        <v>48158627.22</v>
      </c>
      <c r="J69" s="4">
        <v>232186552.48</v>
      </c>
      <c r="K69" s="41"/>
      <c r="L69" s="44" t="s">
        <v>51</v>
      </c>
      <c r="M69" s="61">
        <f t="shared" si="13"/>
        <v>31041017.69</v>
      </c>
      <c r="N69" s="41">
        <f ca="1" t="shared" si="14"/>
        <v>3948</v>
      </c>
      <c r="O69" s="62">
        <f ca="1" t="shared" si="15"/>
        <v>7862.46648682877</v>
      </c>
      <c r="P69" s="41"/>
    </row>
    <row r="70" spans="3:16">
      <c r="C70" s="7" t="s">
        <v>58</v>
      </c>
      <c r="D70" s="54">
        <v>31956947.58</v>
      </c>
      <c r="E70" s="54">
        <v>34177465.75</v>
      </c>
      <c r="F70" s="54">
        <v>34971099.16</v>
      </c>
      <c r="G70" s="54">
        <v>41114507.47</v>
      </c>
      <c r="H70" s="54">
        <v>47654199.83</v>
      </c>
      <c r="I70" s="54">
        <v>47924325.18</v>
      </c>
      <c r="J70" s="4">
        <v>237798544.97</v>
      </c>
      <c r="K70" s="41"/>
      <c r="L70" s="44" t="s">
        <v>58</v>
      </c>
      <c r="M70" s="61">
        <f t="shared" si="13"/>
        <v>34177465.75</v>
      </c>
      <c r="N70" s="41">
        <f ca="1" t="shared" si="14"/>
        <v>5131</v>
      </c>
      <c r="O70" s="62">
        <f ca="1" t="shared" si="15"/>
        <v>6660.97558955369</v>
      </c>
      <c r="P70" s="41"/>
    </row>
    <row r="71" spans="3:16">
      <c r="C71" s="7" t="s">
        <v>52</v>
      </c>
      <c r="D71" s="54">
        <v>30579915.34</v>
      </c>
      <c r="E71" s="54">
        <v>31502174.85</v>
      </c>
      <c r="F71" s="54">
        <v>35136459.64</v>
      </c>
      <c r="G71" s="54">
        <v>41195245.75</v>
      </c>
      <c r="H71" s="54">
        <v>49578985.22</v>
      </c>
      <c r="I71" s="54">
        <v>51318249.66</v>
      </c>
      <c r="J71" s="4">
        <v>239311030.46</v>
      </c>
      <c r="K71" s="41"/>
      <c r="L71" s="44" t="s">
        <v>52</v>
      </c>
      <c r="M71" s="61">
        <f t="shared" si="13"/>
        <v>31502174.85</v>
      </c>
      <c r="N71" s="41">
        <f ca="1" t="shared" si="14"/>
        <v>7148</v>
      </c>
      <c r="O71" s="62">
        <f ca="1" t="shared" si="15"/>
        <v>4407.13134443201</v>
      </c>
      <c r="P71" s="41"/>
    </row>
    <row r="72" spans="3:16">
      <c r="C72" s="7" t="s">
        <v>67</v>
      </c>
      <c r="D72" s="54">
        <v>32832139.13</v>
      </c>
      <c r="E72" s="54">
        <v>33230079.38</v>
      </c>
      <c r="F72" s="54">
        <v>37586527.81</v>
      </c>
      <c r="G72" s="54">
        <v>42449602.37</v>
      </c>
      <c r="H72" s="54">
        <v>49053038.51</v>
      </c>
      <c r="I72" s="54">
        <v>50309531.44</v>
      </c>
      <c r="J72" s="4">
        <v>245460918.64</v>
      </c>
      <c r="K72" s="41"/>
      <c r="L72" s="44" t="s">
        <v>67</v>
      </c>
      <c r="M72" s="61">
        <f t="shared" si="13"/>
        <v>33230079.38</v>
      </c>
      <c r="N72" s="41">
        <f ca="1" t="shared" si="14"/>
        <v>5256</v>
      </c>
      <c r="O72" s="62">
        <f ca="1" t="shared" si="15"/>
        <v>6322.31342846271</v>
      </c>
      <c r="P72" s="41"/>
    </row>
    <row r="73" spans="3:16">
      <c r="C73" s="7" t="s">
        <v>64</v>
      </c>
      <c r="D73" s="54">
        <v>32798586.32</v>
      </c>
      <c r="E73" s="54">
        <v>35277937.08</v>
      </c>
      <c r="F73" s="54">
        <v>38346263.52</v>
      </c>
      <c r="G73" s="54">
        <v>45523110.64</v>
      </c>
      <c r="H73" s="54">
        <v>52059335.93</v>
      </c>
      <c r="I73" s="54">
        <v>53467531.44</v>
      </c>
      <c r="J73" s="4">
        <v>257472764.93</v>
      </c>
      <c r="K73" s="41"/>
      <c r="L73" s="44" t="s">
        <v>64</v>
      </c>
      <c r="M73" s="61">
        <f t="shared" si="13"/>
        <v>35277937.08</v>
      </c>
      <c r="N73" s="41">
        <f ca="1" t="shared" si="14"/>
        <v>4699</v>
      </c>
      <c r="O73" s="62">
        <f ca="1" t="shared" si="15"/>
        <v>7507.54140881038</v>
      </c>
      <c r="P73" s="41"/>
    </row>
    <row r="74" spans="3:16">
      <c r="C74" s="7" t="s">
        <v>70</v>
      </c>
      <c r="D74" s="54">
        <v>37211139.67</v>
      </c>
      <c r="E74" s="54">
        <v>34885410.42</v>
      </c>
      <c r="F74" s="54">
        <v>39933526.37</v>
      </c>
      <c r="G74" s="54">
        <v>45791181.56</v>
      </c>
      <c r="H74" s="54">
        <v>53131359.66</v>
      </c>
      <c r="I74" s="54">
        <v>54488976.08</v>
      </c>
      <c r="J74" s="4">
        <v>265441593.76</v>
      </c>
      <c r="K74" s="41"/>
      <c r="L74" s="44" t="s">
        <v>70</v>
      </c>
      <c r="M74" s="61">
        <f t="shared" si="13"/>
        <v>34885410.42</v>
      </c>
      <c r="N74" s="41">
        <f ca="1" t="shared" si="14"/>
        <v>5469</v>
      </c>
      <c r="O74" s="62">
        <f ca="1" t="shared" si="15"/>
        <v>6378.75487657707</v>
      </c>
      <c r="P74" s="41"/>
    </row>
    <row r="75" spans="3:16">
      <c r="C75" s="7" t="s">
        <v>53</v>
      </c>
      <c r="D75" s="54">
        <v>36126286.52</v>
      </c>
      <c r="E75" s="54">
        <v>36928131.29</v>
      </c>
      <c r="F75" s="54">
        <v>41300332.74</v>
      </c>
      <c r="G75" s="54">
        <v>48936192.15</v>
      </c>
      <c r="H75" s="54">
        <v>56691032.39</v>
      </c>
      <c r="I75" s="54">
        <v>57989830.12</v>
      </c>
      <c r="J75" s="4">
        <v>277971805.21</v>
      </c>
      <c r="K75" s="41"/>
      <c r="L75" s="44" t="s">
        <v>53</v>
      </c>
      <c r="M75" s="61">
        <f t="shared" si="13"/>
        <v>36928131.29</v>
      </c>
      <c r="N75" s="41">
        <f ca="1" t="shared" si="14"/>
        <v>5219</v>
      </c>
      <c r="O75" s="62">
        <f ca="1" t="shared" si="15"/>
        <v>7075.71015328607</v>
      </c>
      <c r="P75" s="41"/>
    </row>
    <row r="76" spans="3:16">
      <c r="C76" s="7" t="s">
        <v>68</v>
      </c>
      <c r="D76" s="54">
        <v>37011507.39</v>
      </c>
      <c r="E76" s="54">
        <v>38723953.08</v>
      </c>
      <c r="F76" s="54">
        <v>43272157.6</v>
      </c>
      <c r="G76" s="54">
        <v>51376320.8</v>
      </c>
      <c r="H76" s="54">
        <v>59532973.87</v>
      </c>
      <c r="I76" s="54">
        <v>61592515.31</v>
      </c>
      <c r="J76" s="4">
        <v>291509428.05</v>
      </c>
      <c r="K76" s="41"/>
      <c r="L76" s="44" t="s">
        <v>68</v>
      </c>
      <c r="M76" s="61">
        <f t="shared" si="13"/>
        <v>38723953.08</v>
      </c>
      <c r="N76" s="41">
        <f ca="1" t="shared" si="14"/>
        <v>5914</v>
      </c>
      <c r="O76" s="62">
        <f ca="1" t="shared" si="15"/>
        <v>6547.84461954684</v>
      </c>
      <c r="P76" s="41"/>
    </row>
    <row r="77" spans="3:16">
      <c r="C77" s="7" t="s">
        <v>60</v>
      </c>
      <c r="D77" s="54">
        <v>37323339.67</v>
      </c>
      <c r="E77" s="54">
        <v>39715076.98</v>
      </c>
      <c r="F77" s="54">
        <v>46634196.93</v>
      </c>
      <c r="G77" s="54">
        <v>52991745.79</v>
      </c>
      <c r="H77" s="54">
        <v>61596347.09</v>
      </c>
      <c r="I77" s="54">
        <v>63480999.24</v>
      </c>
      <c r="J77" s="4">
        <v>301741705.7</v>
      </c>
      <c r="K77" s="41"/>
      <c r="L77" s="44" t="s">
        <v>60</v>
      </c>
      <c r="M77" s="61">
        <f t="shared" si="13"/>
        <v>39715076.98</v>
      </c>
      <c r="N77" s="41">
        <f ca="1" t="shared" si="14"/>
        <v>7005</v>
      </c>
      <c r="O77" s="62">
        <f ca="1" t="shared" si="15"/>
        <v>5669.53275945753</v>
      </c>
      <c r="P77" s="41"/>
    </row>
    <row r="78" spans="3:16">
      <c r="C78" s="7" t="s">
        <v>69</v>
      </c>
      <c r="D78" s="54">
        <v>42217397.67</v>
      </c>
      <c r="E78" s="54">
        <v>44136680.13</v>
      </c>
      <c r="F78" s="54">
        <v>48185432.76</v>
      </c>
      <c r="G78" s="54">
        <v>53738703.78</v>
      </c>
      <c r="H78" s="54">
        <v>63058447.84</v>
      </c>
      <c r="I78" s="54">
        <v>65499060.97</v>
      </c>
      <c r="J78" s="4">
        <v>316835723.15</v>
      </c>
      <c r="K78" s="41"/>
      <c r="L78" s="44" t="s">
        <v>69</v>
      </c>
      <c r="M78" s="61">
        <f t="shared" si="13"/>
        <v>44136680.13</v>
      </c>
      <c r="N78" s="41">
        <f ca="1" t="shared" si="14"/>
        <v>7885</v>
      </c>
      <c r="O78" s="62">
        <f ca="1" t="shared" si="15"/>
        <v>5597.54979454661</v>
      </c>
      <c r="P78" s="41"/>
    </row>
    <row r="79" spans="3:16">
      <c r="C79" s="7" t="s">
        <v>55</v>
      </c>
      <c r="D79" s="54">
        <v>48958304.38</v>
      </c>
      <c r="E79" s="54">
        <v>51760833.25</v>
      </c>
      <c r="F79" s="54">
        <v>56194958.34</v>
      </c>
      <c r="G79" s="54">
        <v>65259571.25</v>
      </c>
      <c r="H79" s="54">
        <v>75623357.51</v>
      </c>
      <c r="I79" s="54">
        <v>76630125.11</v>
      </c>
      <c r="J79" s="4">
        <v>374427149.84</v>
      </c>
      <c r="K79" s="41"/>
      <c r="L79" s="44" t="s">
        <v>55</v>
      </c>
      <c r="M79" s="61">
        <f t="shared" si="13"/>
        <v>51760833.25</v>
      </c>
      <c r="N79" s="41">
        <f ca="1" t="shared" si="14"/>
        <v>9834</v>
      </c>
      <c r="O79" s="62">
        <f ca="1" t="shared" si="15"/>
        <v>5263.456706325</v>
      </c>
      <c r="P79" s="41"/>
    </row>
    <row r="80" spans="3:16">
      <c r="C80" s="7" t="s">
        <v>63</v>
      </c>
      <c r="D80" s="54">
        <v>51350082.89</v>
      </c>
      <c r="E80" s="54">
        <v>52421733.67</v>
      </c>
      <c r="F80" s="54">
        <v>57071289.35</v>
      </c>
      <c r="G80" s="54">
        <v>67111439.53</v>
      </c>
      <c r="H80" s="54">
        <v>78992872.5</v>
      </c>
      <c r="I80" s="54">
        <v>83267603.91</v>
      </c>
      <c r="J80" s="4">
        <v>390215021.85</v>
      </c>
      <c r="K80" s="41"/>
      <c r="L80" s="44" t="s">
        <v>63</v>
      </c>
      <c r="M80" s="61">
        <f t="shared" si="13"/>
        <v>52421733.67</v>
      </c>
      <c r="N80" s="41">
        <f ca="1" t="shared" si="14"/>
        <v>9792</v>
      </c>
      <c r="O80" s="62">
        <f ca="1" t="shared" si="15"/>
        <v>5353.52672283497</v>
      </c>
      <c r="P80" s="41"/>
    </row>
    <row r="81" spans="3:16">
      <c r="C81" s="7" t="s">
        <v>61</v>
      </c>
      <c r="D81" s="54">
        <v>49099729.18</v>
      </c>
      <c r="E81" s="54">
        <v>51910398.82</v>
      </c>
      <c r="F81" s="54">
        <v>59263719.12</v>
      </c>
      <c r="G81" s="54">
        <v>68598084.05</v>
      </c>
      <c r="H81" s="54">
        <v>79438403.86</v>
      </c>
      <c r="I81" s="54">
        <v>82011481.04</v>
      </c>
      <c r="J81" s="4">
        <v>390321816.07</v>
      </c>
      <c r="K81" s="41"/>
      <c r="L81" s="44" t="s">
        <v>61</v>
      </c>
      <c r="M81" s="61">
        <f t="shared" si="13"/>
        <v>51910398.82</v>
      </c>
      <c r="N81" s="41">
        <f ca="1" t="shared" si="14"/>
        <v>7449</v>
      </c>
      <c r="O81" s="62">
        <f ca="1" t="shared" si="15"/>
        <v>6968.77417371459</v>
      </c>
      <c r="P81" s="41"/>
    </row>
    <row r="82" spans="3:16">
      <c r="C82" s="7" t="s">
        <v>50</v>
      </c>
      <c r="D82" s="54">
        <v>66474432.42</v>
      </c>
      <c r="E82" s="54">
        <v>63114142.14</v>
      </c>
      <c r="F82" s="54">
        <v>69709714.17</v>
      </c>
      <c r="G82" s="54">
        <v>78628294.1</v>
      </c>
      <c r="H82" s="54">
        <v>91927775.3</v>
      </c>
      <c r="I82" s="54">
        <v>101421394.3</v>
      </c>
      <c r="J82" s="4">
        <v>471275752.43</v>
      </c>
      <c r="K82" s="41"/>
      <c r="L82" s="44" t="s">
        <v>50</v>
      </c>
      <c r="M82" s="61">
        <f t="shared" si="13"/>
        <v>63114142.14</v>
      </c>
      <c r="N82" s="41">
        <f ca="1" t="shared" si="14"/>
        <v>11513</v>
      </c>
      <c r="O82" s="62">
        <f ca="1" t="shared" si="15"/>
        <v>5481.98924172674</v>
      </c>
      <c r="P82" s="41"/>
    </row>
    <row r="83" spans="3:16">
      <c r="C83" s="7" t="s">
        <v>57</v>
      </c>
      <c r="D83" s="54">
        <v>64382647.89</v>
      </c>
      <c r="E83" s="54">
        <v>65623617.26</v>
      </c>
      <c r="F83" s="54">
        <v>71733501.53</v>
      </c>
      <c r="G83" s="54">
        <v>83466292.84</v>
      </c>
      <c r="H83" s="54">
        <v>96041823.81</v>
      </c>
      <c r="I83" s="54">
        <v>100046969.56</v>
      </c>
      <c r="J83" s="4">
        <v>481294852.89</v>
      </c>
      <c r="K83" s="41"/>
      <c r="L83" s="44" t="s">
        <v>57</v>
      </c>
      <c r="M83" s="61">
        <f t="shared" si="13"/>
        <v>65623617.26</v>
      </c>
      <c r="N83" s="41">
        <f ca="1" t="shared" si="14"/>
        <v>11640</v>
      </c>
      <c r="O83" s="62">
        <f ca="1" t="shared" si="15"/>
        <v>5637.76780584192</v>
      </c>
      <c r="P83" s="41"/>
    </row>
    <row r="84" spans="3:16">
      <c r="C84" s="7" t="s">
        <v>62</v>
      </c>
      <c r="D84" s="54">
        <v>64892623.49</v>
      </c>
      <c r="E84" s="54">
        <v>67506597.17</v>
      </c>
      <c r="F84" s="54">
        <v>73224727.65</v>
      </c>
      <c r="G84" s="54">
        <v>84270421.07</v>
      </c>
      <c r="H84" s="54">
        <v>97263318.94</v>
      </c>
      <c r="I84" s="54">
        <v>100042140.92</v>
      </c>
      <c r="J84" s="4">
        <v>487199829.24</v>
      </c>
      <c r="K84" s="41"/>
      <c r="L84" s="44" t="s">
        <v>62</v>
      </c>
      <c r="M84" s="61">
        <f t="shared" si="13"/>
        <v>67506597.17</v>
      </c>
      <c r="N84" s="41">
        <f ca="1" t="shared" si="14"/>
        <v>9681</v>
      </c>
      <c r="O84" s="62">
        <f ca="1" t="shared" si="15"/>
        <v>6973.10165995248</v>
      </c>
      <c r="P84" s="41"/>
    </row>
    <row r="85" spans="3:16">
      <c r="C85" s="7" t="s">
        <v>66</v>
      </c>
      <c r="D85" s="54">
        <v>86758556.79</v>
      </c>
      <c r="E85" s="54">
        <v>89516421.92</v>
      </c>
      <c r="F85" s="54">
        <v>98988608.42</v>
      </c>
      <c r="G85" s="54">
        <v>116269446.93</v>
      </c>
      <c r="H85" s="54">
        <v>135731019.87</v>
      </c>
      <c r="I85" s="54">
        <v>142715649.06</v>
      </c>
      <c r="J85" s="4">
        <v>669979702.99</v>
      </c>
      <c r="K85" s="41"/>
      <c r="L85" s="44" t="s">
        <v>66</v>
      </c>
      <c r="M85" s="61">
        <f t="shared" si="13"/>
        <v>89516421.92</v>
      </c>
      <c r="N85" s="41">
        <f ca="1" t="shared" si="14"/>
        <v>12905</v>
      </c>
      <c r="O85" s="62">
        <f ca="1" t="shared" si="15"/>
        <v>6936.56892057342</v>
      </c>
      <c r="P85" s="41"/>
    </row>
    <row r="86" spans="3:16">
      <c r="C86" s="7" t="s">
        <v>56</v>
      </c>
      <c r="D86" s="54">
        <v>130168596.55</v>
      </c>
      <c r="E86" s="54">
        <v>134709408.38</v>
      </c>
      <c r="F86" s="54">
        <v>147078243.46</v>
      </c>
      <c r="G86" s="54">
        <v>170893066.82</v>
      </c>
      <c r="H86" s="54">
        <v>191211027.62</v>
      </c>
      <c r="I86" s="54">
        <v>193270055.86</v>
      </c>
      <c r="J86" s="4">
        <v>967330398.69</v>
      </c>
      <c r="K86" s="41"/>
      <c r="L86" s="44" t="s">
        <v>56</v>
      </c>
      <c r="M86" s="61">
        <f t="shared" si="13"/>
        <v>134709408.38</v>
      </c>
      <c r="N86" s="41">
        <f ca="1" t="shared" si="14"/>
        <v>43271</v>
      </c>
      <c r="O86" s="62">
        <f ca="1" t="shared" si="15"/>
        <v>3113.15681125927</v>
      </c>
      <c r="P86" s="41"/>
    </row>
    <row r="87" spans="3:16">
      <c r="C87" s="31" t="s">
        <v>83</v>
      </c>
      <c r="D87" s="55">
        <v>999931204.85</v>
      </c>
      <c r="E87" s="55">
        <f t="shared" ref="E87:J87" si="16">SUM(E65:E86)</f>
        <v>1031382206.94</v>
      </c>
      <c r="F87" s="55">
        <f t="shared" si="16"/>
        <v>1136296275.41</v>
      </c>
      <c r="G87" s="55">
        <f t="shared" si="16"/>
        <v>1315585407.11</v>
      </c>
      <c r="H87" s="55">
        <f t="shared" si="16"/>
        <v>1521265012.44</v>
      </c>
      <c r="I87" s="55">
        <f t="shared" si="16"/>
        <v>1572983404.19</v>
      </c>
      <c r="J87" s="55">
        <f t="shared" si="16"/>
        <v>7577443510.94</v>
      </c>
      <c r="K87" s="41"/>
      <c r="L87" s="47" t="s">
        <v>83</v>
      </c>
      <c r="M87" s="63">
        <f>SUM(M65:M86)</f>
        <v>1031382206.94</v>
      </c>
      <c r="N87" s="64">
        <f ca="1">SUM(N65:N86)</f>
        <v>188188</v>
      </c>
      <c r="O87" s="63">
        <f ca="1" t="shared" si="15"/>
        <v>5480.59497385593</v>
      </c>
      <c r="P87" s="41"/>
    </row>
    <row r="88" spans="10:16">
      <c r="J88" s="40"/>
      <c r="K88" s="41"/>
      <c r="L88" s="41"/>
      <c r="M88" s="41"/>
      <c r="N88" s="41"/>
      <c r="O88" s="41"/>
      <c r="P88" s="41"/>
    </row>
    <row r="89" ht="23.25" spans="3:13">
      <c r="C89" s="30" t="s">
        <v>92</v>
      </c>
      <c r="J89" s="40"/>
      <c r="K89" s="40"/>
      <c r="L89" s="40"/>
      <c r="M89" s="40"/>
    </row>
    <row r="90" spans="10:13">
      <c r="J90" s="40"/>
      <c r="K90" s="40"/>
      <c r="L90" s="40"/>
      <c r="M90" s="40"/>
    </row>
    <row r="91" spans="4:10">
      <c r="D91" s="56" t="s">
        <v>93</v>
      </c>
      <c r="E91" s="56" t="s">
        <v>94</v>
      </c>
      <c r="F91" s="56" t="s">
        <v>95</v>
      </c>
      <c r="G91" s="56" t="s">
        <v>96</v>
      </c>
      <c r="H91" s="57" t="s">
        <v>89</v>
      </c>
      <c r="I91" s="56" t="s">
        <v>97</v>
      </c>
      <c r="J91" s="57" t="s">
        <v>91</v>
      </c>
    </row>
    <row r="92" spans="4:10">
      <c r="D92" s="58">
        <v>2011</v>
      </c>
      <c r="E92" s="59">
        <f ca="1">D28</f>
        <v>202303</v>
      </c>
      <c r="F92" s="59">
        <f ca="1">N28</f>
        <v>412611</v>
      </c>
      <c r="G92" s="60">
        <f ca="1">D57</f>
        <v>0.490299579991808</v>
      </c>
      <c r="H92" s="60">
        <v>0.593</v>
      </c>
      <c r="I92" s="65">
        <f>D87</f>
        <v>999931204.85</v>
      </c>
      <c r="J92" s="65">
        <f ca="1" t="shared" ref="J92:J97" si="17">I92/E92</f>
        <v>4942.74036890209</v>
      </c>
    </row>
    <row r="93" spans="4:10">
      <c r="D93" s="58">
        <v>2012</v>
      </c>
      <c r="E93" s="59">
        <f ca="1">E28</f>
        <v>188188</v>
      </c>
      <c r="F93" s="59">
        <f ca="1">O28</f>
        <v>419155</v>
      </c>
      <c r="G93" s="60">
        <f ca="1">E57</f>
        <v>0.448969951449941</v>
      </c>
      <c r="H93" s="60">
        <v>0.593</v>
      </c>
      <c r="I93" s="65">
        <f>E87</f>
        <v>1031382206.94</v>
      </c>
      <c r="J93" s="65">
        <f ca="1" t="shared" si="17"/>
        <v>5480.59497385593</v>
      </c>
    </row>
    <row r="94" spans="4:10">
      <c r="D94" s="58">
        <v>2013</v>
      </c>
      <c r="E94" s="59">
        <f ca="1">F28</f>
        <v>194215</v>
      </c>
      <c r="F94" s="59">
        <f ca="1">P28</f>
        <v>425897</v>
      </c>
      <c r="G94" s="60">
        <f ca="1">F57</f>
        <v>0.456014012777737</v>
      </c>
      <c r="H94" s="60">
        <v>0.593</v>
      </c>
      <c r="I94" s="65">
        <f>F87</f>
        <v>1136296275.41</v>
      </c>
      <c r="J94" s="65">
        <f ca="1" t="shared" si="17"/>
        <v>5850.71325803877</v>
      </c>
    </row>
    <row r="95" spans="4:10">
      <c r="D95" s="58">
        <v>2014</v>
      </c>
      <c r="E95" s="59">
        <f ca="1">G28</f>
        <v>201581</v>
      </c>
      <c r="F95" s="59">
        <f ca="1">Q28</f>
        <v>423910</v>
      </c>
      <c r="G95" s="60">
        <f ca="1">G57</f>
        <v>0.475527824302328</v>
      </c>
      <c r="H95" s="60">
        <v>0.593</v>
      </c>
      <c r="I95" s="65">
        <f>G87</f>
        <v>1315585407.11</v>
      </c>
      <c r="J95" s="65">
        <f ca="1" t="shared" si="17"/>
        <v>6526.33634672911</v>
      </c>
    </row>
    <row r="96" spans="4:10">
      <c r="D96" s="58">
        <v>2015</v>
      </c>
      <c r="E96" s="59">
        <f ca="1">H28</f>
        <v>204533</v>
      </c>
      <c r="F96" s="59">
        <f ca="1">R28</f>
        <v>428383</v>
      </c>
      <c r="G96" s="60">
        <f ca="1">H57</f>
        <v>0.477453587093792</v>
      </c>
      <c r="H96" s="60">
        <v>0.593</v>
      </c>
      <c r="I96" s="65">
        <f>H87</f>
        <v>1521265012.44</v>
      </c>
      <c r="J96" s="65">
        <f ca="1" t="shared" si="17"/>
        <v>7437.74849261488</v>
      </c>
    </row>
    <row r="97" spans="4:10">
      <c r="D97" s="58">
        <v>2016</v>
      </c>
      <c r="E97" s="59">
        <f ca="1">I28</f>
        <v>202454</v>
      </c>
      <c r="F97" s="59">
        <f ca="1">S28</f>
        <v>432173</v>
      </c>
      <c r="G97" s="60">
        <f ca="1">I57</f>
        <v>0.468455919273069</v>
      </c>
      <c r="H97" s="60">
        <v>0.593</v>
      </c>
      <c r="I97" s="65">
        <f>I87</f>
        <v>1572983404.19</v>
      </c>
      <c r="J97" s="65">
        <f ca="1" t="shared" si="17"/>
        <v>7769.58422253944</v>
      </c>
    </row>
  </sheetData>
  <sortState ref="C65:J86">
    <sortCondition ref="J65:J86"/>
  </sortState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Y60"/>
  <sheetViews>
    <sheetView showGridLines="0" zoomScale="80" zoomScaleNormal="80" workbookViewId="0">
      <selection activeCell="K4" sqref="K4"/>
    </sheetView>
  </sheetViews>
  <sheetFormatPr defaultColWidth="9" defaultRowHeight="15"/>
  <cols>
    <col min="1" max="1" width="3" customWidth="1"/>
    <col min="2" max="2" width="1.71428571428571" customWidth="1"/>
    <col min="12" max="12" width="11.5714285714286" customWidth="1"/>
    <col min="13" max="13" width="10.7142857142857" customWidth="1"/>
    <col min="15" max="15" width="10.1428571428571" customWidth="1"/>
    <col min="16" max="16" width="10.4285714285714" customWidth="1"/>
    <col min="17" max="17" width="21" customWidth="1"/>
    <col min="18" max="18" width="12.5714285714286" customWidth="1"/>
    <col min="19" max="20" width="11.5714285714286" customWidth="1"/>
    <col min="21" max="21" width="12.2857142857143" customWidth="1"/>
    <col min="22" max="22" width="13" customWidth="1"/>
    <col min="23" max="23" width="9.14285714285714" customWidth="1"/>
    <col min="24" max="24" width="13.1428571428571" customWidth="1"/>
    <col min="25" max="25" width="23.1428571428571" customWidth="1"/>
    <col min="27" max="27" width="13.1428571428571" customWidth="1"/>
    <col min="28" max="28" width="15.8571428571429" customWidth="1"/>
  </cols>
  <sheetData>
    <row r="2" spans="24:25">
      <c r="X2" s="15" t="s">
        <v>98</v>
      </c>
      <c r="Y2" s="15"/>
    </row>
    <row r="3" customHeight="1" spans="11:25">
      <c r="K3" s="11" t="s">
        <v>93</v>
      </c>
      <c r="L3" s="11" t="s">
        <v>84</v>
      </c>
      <c r="M3" s="11" t="s">
        <v>85</v>
      </c>
      <c r="N3" s="11" t="s">
        <v>88</v>
      </c>
      <c r="O3" s="11" t="s">
        <v>99</v>
      </c>
      <c r="P3" s="11" t="s">
        <v>100</v>
      </c>
      <c r="Q3" s="11" t="s">
        <v>90</v>
      </c>
      <c r="X3" s="16">
        <f ca="1">Q4/L4</f>
        <v>5480.59497385593</v>
      </c>
      <c r="Y3" s="25"/>
    </row>
    <row r="4" ht="15.75" customHeight="1" spans="11:25">
      <c r="K4" s="12">
        <v>2012</v>
      </c>
      <c r="L4" s="13">
        <f ca="1">Tablas!Y28</f>
        <v>188188</v>
      </c>
      <c r="M4" s="13">
        <f ca="1">Tablas!AA28</f>
        <v>419155</v>
      </c>
      <c r="N4" s="14">
        <f ca="1">L4/M4</f>
        <v>0.448969951449941</v>
      </c>
      <c r="O4" s="14">
        <v>0.593</v>
      </c>
      <c r="P4" s="14">
        <f ca="1">O4-N4</f>
        <v>0.144030048550059</v>
      </c>
      <c r="Q4" s="17">
        <f>Tablas!M87</f>
        <v>1031382206.94</v>
      </c>
      <c r="X4" s="18"/>
      <c r="Y4" s="26"/>
    </row>
    <row r="5" customHeight="1" spans="21:25">
      <c r="U5" s="19"/>
      <c r="X5" s="20"/>
      <c r="Y5" s="27"/>
    </row>
    <row r="6" ht="21.75" customHeight="1" spans="4:23">
      <c r="D6" s="9" t="s">
        <v>101</v>
      </c>
      <c r="E6" s="10"/>
      <c r="U6" s="19"/>
      <c r="V6" s="21"/>
      <c r="W6" s="21"/>
    </row>
    <row r="7" customHeight="1" spans="21:23">
      <c r="U7" s="19"/>
      <c r="V7" s="21"/>
      <c r="W7" s="21"/>
    </row>
    <row r="8" customHeight="1" spans="22:25">
      <c r="V8" s="19"/>
      <c r="W8" s="19"/>
      <c r="X8" s="22" t="s">
        <v>82</v>
      </c>
      <c r="Y8" s="28" t="s">
        <v>102</v>
      </c>
    </row>
    <row r="9" ht="12.75" customHeight="1" spans="24:25">
      <c r="X9" s="23" t="s">
        <v>54</v>
      </c>
      <c r="Y9" s="29">
        <f ca="1">Tablas!O65</f>
        <v>7639.4715100087</v>
      </c>
    </row>
    <row r="10" spans="24:25">
      <c r="X10" s="23" t="s">
        <v>65</v>
      </c>
      <c r="Y10" s="29">
        <f ca="1">Tablas!O66</f>
        <v>5058.80859504132</v>
      </c>
    </row>
    <row r="11" spans="24:25">
      <c r="X11" s="23" t="s">
        <v>71</v>
      </c>
      <c r="Y11" s="29">
        <f ca="1">Tablas!O67</f>
        <v>7645.98313646254</v>
      </c>
    </row>
    <row r="12" spans="24:25">
      <c r="X12" s="23" t="s">
        <v>59</v>
      </c>
      <c r="Y12" s="29">
        <f ca="1">Tablas!O68</f>
        <v>6803.93246160597</v>
      </c>
    </row>
    <row r="13" spans="24:25">
      <c r="X13" s="23" t="s">
        <v>51</v>
      </c>
      <c r="Y13" s="29">
        <f ca="1">Tablas!O69</f>
        <v>7862.46648682877</v>
      </c>
    </row>
    <row r="14" spans="24:25">
      <c r="X14" s="23" t="s">
        <v>58</v>
      </c>
      <c r="Y14" s="29">
        <f ca="1">Tablas!O70</f>
        <v>6660.97558955369</v>
      </c>
    </row>
    <row r="15" spans="24:25">
      <c r="X15" s="23" t="s">
        <v>52</v>
      </c>
      <c r="Y15" s="29">
        <f ca="1">Tablas!O71</f>
        <v>4407.13134443201</v>
      </c>
    </row>
    <row r="16" spans="24:25">
      <c r="X16" s="23" t="s">
        <v>67</v>
      </c>
      <c r="Y16" s="29">
        <f ca="1">Tablas!O72</f>
        <v>6322.31342846271</v>
      </c>
    </row>
    <row r="17" spans="24:25">
      <c r="X17" s="23" t="s">
        <v>64</v>
      </c>
      <c r="Y17" s="29">
        <f ca="1">Tablas!O73</f>
        <v>7507.54140881038</v>
      </c>
    </row>
    <row r="18" spans="24:25">
      <c r="X18" s="23" t="s">
        <v>70</v>
      </c>
      <c r="Y18" s="29">
        <f ca="1">Tablas!O74</f>
        <v>6378.75487657707</v>
      </c>
    </row>
    <row r="19" spans="24:25">
      <c r="X19" s="23" t="s">
        <v>53</v>
      </c>
      <c r="Y19" s="29">
        <f ca="1">Tablas!O75</f>
        <v>7075.71015328607</v>
      </c>
    </row>
    <row r="20" spans="24:25">
      <c r="X20" s="23" t="s">
        <v>68</v>
      </c>
      <c r="Y20" s="29">
        <f ca="1">Tablas!O76</f>
        <v>6547.84461954684</v>
      </c>
    </row>
    <row r="21" spans="24:25">
      <c r="X21" s="23" t="s">
        <v>60</v>
      </c>
      <c r="Y21" s="29">
        <f ca="1">Tablas!O77</f>
        <v>5669.53275945753</v>
      </c>
    </row>
    <row r="22" spans="24:25">
      <c r="X22" s="23" t="s">
        <v>69</v>
      </c>
      <c r="Y22" s="29">
        <f ca="1">Tablas!O78</f>
        <v>5597.54979454661</v>
      </c>
    </row>
    <row r="23" spans="24:25">
      <c r="X23" s="23" t="s">
        <v>55</v>
      </c>
      <c r="Y23" s="29">
        <f ca="1">Tablas!O79</f>
        <v>5263.456706325</v>
      </c>
    </row>
    <row r="24" spans="24:25">
      <c r="X24" s="23" t="s">
        <v>63</v>
      </c>
      <c r="Y24" s="29">
        <f ca="1">Tablas!O80</f>
        <v>5353.52672283497</v>
      </c>
    </row>
    <row r="25" spans="24:25">
      <c r="X25" s="23" t="s">
        <v>61</v>
      </c>
      <c r="Y25" s="29">
        <f ca="1">Tablas!O81</f>
        <v>6968.77417371459</v>
      </c>
    </row>
    <row r="26" spans="24:25">
      <c r="X26" s="23" t="s">
        <v>50</v>
      </c>
      <c r="Y26" s="29">
        <f ca="1">Tablas!O82</f>
        <v>5481.98924172674</v>
      </c>
    </row>
    <row r="27" spans="24:25">
      <c r="X27" s="23" t="s">
        <v>57</v>
      </c>
      <c r="Y27" s="29">
        <f ca="1">Tablas!O83</f>
        <v>5637.76780584192</v>
      </c>
    </row>
    <row r="28" spans="24:25">
      <c r="X28" s="23" t="s">
        <v>62</v>
      </c>
      <c r="Y28" s="29">
        <f ca="1">Tablas!O84</f>
        <v>6973.10165995248</v>
      </c>
    </row>
    <row r="29" spans="24:25">
      <c r="X29" s="23" t="s">
        <v>66</v>
      </c>
      <c r="Y29" s="29">
        <f ca="1">Tablas!O85</f>
        <v>6936.56892057342</v>
      </c>
    </row>
    <row r="30" spans="24:25">
      <c r="X30" s="23" t="s">
        <v>56</v>
      </c>
      <c r="Y30" s="29">
        <f ca="1">Tablas!O86</f>
        <v>3113.15681125927</v>
      </c>
    </row>
    <row r="36" ht="26.25" spans="4:4">
      <c r="D36" s="9" t="s">
        <v>103</v>
      </c>
    </row>
    <row r="60" spans="24:24">
      <c r="X60" s="24"/>
    </row>
  </sheetData>
  <mergeCells count="2">
    <mergeCell ref="X2:Y2"/>
    <mergeCell ref="X3:Y5"/>
  </mergeCells>
  <dataValidations count="1">
    <dataValidation type="list" allowBlank="1" showInputMessage="1" showErrorMessage="1" sqref="K4">
      <formula1>Tablas!$AF$2:$AF$7</formula1>
    </dataValidation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21"/>
  <sheetViews>
    <sheetView tabSelected="1" workbookViewId="0">
      <selection activeCell="G4" sqref="G4"/>
    </sheetView>
  </sheetViews>
  <sheetFormatPr defaultColWidth="9" defaultRowHeight="15" outlineLevelCol="5"/>
  <cols>
    <col min="2" max="2" width="15.4285714285714" customWidth="1"/>
  </cols>
  <sheetData>
    <row r="1" spans="2:6">
      <c r="B1" s="2" t="s">
        <v>72</v>
      </c>
      <c r="C1" s="2" t="s">
        <v>84</v>
      </c>
      <c r="D1" s="6" t="s">
        <v>104</v>
      </c>
      <c r="E1" s="6" t="s">
        <v>105</v>
      </c>
      <c r="F1" s="6" t="s">
        <v>106</v>
      </c>
    </row>
    <row r="2" spans="2:6">
      <c r="B2" s="7" t="s">
        <v>54</v>
      </c>
      <c r="C2" s="8">
        <v>2298</v>
      </c>
      <c r="D2" s="8">
        <v>4213</v>
      </c>
      <c r="E2">
        <v>2012</v>
      </c>
      <c r="F2" t="s">
        <v>75</v>
      </c>
    </row>
    <row r="3" spans="2:6">
      <c r="B3" s="7" t="s">
        <v>71</v>
      </c>
      <c r="C3" s="8">
        <v>3217</v>
      </c>
      <c r="D3" s="8">
        <v>5657</v>
      </c>
      <c r="E3">
        <v>2012</v>
      </c>
      <c r="F3" t="s">
        <v>75</v>
      </c>
    </row>
    <row r="4" spans="2:6">
      <c r="B4" s="7" t="s">
        <v>51</v>
      </c>
      <c r="C4" s="8">
        <v>3948</v>
      </c>
      <c r="D4" s="8">
        <v>8416</v>
      </c>
      <c r="E4">
        <v>2012</v>
      </c>
      <c r="F4" t="s">
        <v>75</v>
      </c>
    </row>
    <row r="5" spans="2:6">
      <c r="B5" s="7" t="s">
        <v>65</v>
      </c>
      <c r="C5" s="8">
        <v>4356</v>
      </c>
      <c r="D5" s="8">
        <v>8409</v>
      </c>
      <c r="E5">
        <v>2012</v>
      </c>
      <c r="F5" t="s">
        <v>75</v>
      </c>
    </row>
    <row r="6" spans="2:6">
      <c r="B6" s="7" t="s">
        <v>59</v>
      </c>
      <c r="C6" s="8">
        <v>4558</v>
      </c>
      <c r="D6" s="8">
        <v>10771</v>
      </c>
      <c r="E6">
        <v>2012</v>
      </c>
      <c r="F6" t="s">
        <v>75</v>
      </c>
    </row>
    <row r="7" spans="2:6">
      <c r="B7" s="7" t="s">
        <v>64</v>
      </c>
      <c r="C7" s="8">
        <v>4699</v>
      </c>
      <c r="D7" s="8">
        <v>8423</v>
      </c>
      <c r="E7">
        <v>2012</v>
      </c>
      <c r="F7" t="s">
        <v>75</v>
      </c>
    </row>
    <row r="8" spans="2:6">
      <c r="B8" s="7" t="s">
        <v>53</v>
      </c>
      <c r="C8" s="8">
        <v>5219</v>
      </c>
      <c r="D8" s="8">
        <v>11459</v>
      </c>
      <c r="E8">
        <v>2012</v>
      </c>
      <c r="F8" t="s">
        <v>75</v>
      </c>
    </row>
    <row r="9" spans="2:6">
      <c r="B9" s="7" t="s">
        <v>70</v>
      </c>
      <c r="C9" s="8">
        <v>5469</v>
      </c>
      <c r="D9" s="8">
        <v>17406</v>
      </c>
      <c r="E9">
        <v>2012</v>
      </c>
      <c r="F9" t="s">
        <v>75</v>
      </c>
    </row>
    <row r="10" spans="2:6">
      <c r="B10" s="7" t="s">
        <v>58</v>
      </c>
      <c r="C10" s="8">
        <v>5131</v>
      </c>
      <c r="D10" s="8">
        <v>12029</v>
      </c>
      <c r="E10">
        <v>2012</v>
      </c>
      <c r="F10" t="s">
        <v>75</v>
      </c>
    </row>
    <row r="11" spans="2:6">
      <c r="B11" s="7" t="s">
        <v>67</v>
      </c>
      <c r="C11" s="8">
        <v>5256</v>
      </c>
      <c r="D11" s="8">
        <v>9763</v>
      </c>
      <c r="E11">
        <v>2012</v>
      </c>
      <c r="F11" t="s">
        <v>75</v>
      </c>
    </row>
    <row r="12" spans="2:6">
      <c r="B12" s="7" t="s">
        <v>68</v>
      </c>
      <c r="C12" s="8">
        <v>5914</v>
      </c>
      <c r="D12" s="8">
        <v>15349</v>
      </c>
      <c r="E12">
        <v>2012</v>
      </c>
      <c r="F12" t="s">
        <v>75</v>
      </c>
    </row>
    <row r="13" spans="2:6">
      <c r="B13" s="7" t="s">
        <v>60</v>
      </c>
      <c r="C13" s="8">
        <v>7005</v>
      </c>
      <c r="D13" s="8">
        <v>13522</v>
      </c>
      <c r="E13">
        <v>2012</v>
      </c>
      <c r="F13" t="s">
        <v>75</v>
      </c>
    </row>
    <row r="14" spans="2:6">
      <c r="B14" s="7" t="s">
        <v>52</v>
      </c>
      <c r="C14" s="8">
        <v>7148</v>
      </c>
      <c r="D14" s="8">
        <v>20202</v>
      </c>
      <c r="E14">
        <v>2012</v>
      </c>
      <c r="F14" t="s">
        <v>75</v>
      </c>
    </row>
    <row r="15" spans="2:6">
      <c r="B15" s="7" t="s">
        <v>69</v>
      </c>
      <c r="C15" s="8">
        <v>7885</v>
      </c>
      <c r="D15" s="8">
        <v>15077</v>
      </c>
      <c r="E15">
        <v>2012</v>
      </c>
      <c r="F15" t="s">
        <v>75</v>
      </c>
    </row>
    <row r="16" spans="2:6">
      <c r="B16" s="7" t="s">
        <v>61</v>
      </c>
      <c r="C16" s="8">
        <v>7449</v>
      </c>
      <c r="D16" s="8">
        <v>21939</v>
      </c>
      <c r="E16">
        <v>2012</v>
      </c>
      <c r="F16" t="s">
        <v>75</v>
      </c>
    </row>
    <row r="17" spans="2:6">
      <c r="B17" s="7" t="s">
        <v>55</v>
      </c>
      <c r="C17" s="8">
        <v>9834</v>
      </c>
      <c r="D17" s="8">
        <v>17689</v>
      </c>
      <c r="E17">
        <v>2012</v>
      </c>
      <c r="F17" t="s">
        <v>75</v>
      </c>
    </row>
    <row r="18" spans="2:6">
      <c r="B18" s="7" t="s">
        <v>62</v>
      </c>
      <c r="C18" s="8">
        <v>9681</v>
      </c>
      <c r="D18" s="8">
        <v>23196</v>
      </c>
      <c r="E18">
        <v>2012</v>
      </c>
      <c r="F18" t="s">
        <v>75</v>
      </c>
    </row>
    <row r="19" spans="2:6">
      <c r="B19" s="7" t="s">
        <v>63</v>
      </c>
      <c r="C19" s="8">
        <v>9792</v>
      </c>
      <c r="D19" s="8">
        <v>34632</v>
      </c>
      <c r="E19">
        <v>2012</v>
      </c>
      <c r="F19" t="s">
        <v>75</v>
      </c>
    </row>
    <row r="20" spans="2:6">
      <c r="B20" s="7" t="s">
        <v>57</v>
      </c>
      <c r="C20" s="8">
        <v>11640</v>
      </c>
      <c r="D20" s="8">
        <v>36438</v>
      </c>
      <c r="E20">
        <v>2012</v>
      </c>
      <c r="F20" t="s">
        <v>75</v>
      </c>
    </row>
    <row r="21" spans="2:6">
      <c r="B21" s="7" t="s">
        <v>50</v>
      </c>
      <c r="C21" s="8">
        <v>11513</v>
      </c>
      <c r="D21" s="8">
        <v>36375</v>
      </c>
      <c r="E21">
        <v>2012</v>
      </c>
      <c r="F21" t="s">
        <v>75</v>
      </c>
    </row>
    <row r="22" spans="2:6">
      <c r="B22" s="7" t="s">
        <v>66</v>
      </c>
      <c r="C22" s="8">
        <v>12905</v>
      </c>
      <c r="D22" s="8">
        <v>30406</v>
      </c>
      <c r="E22">
        <v>2012</v>
      </c>
      <c r="F22" t="s">
        <v>75</v>
      </c>
    </row>
    <row r="23" spans="2:6">
      <c r="B23" s="7" t="s">
        <v>56</v>
      </c>
      <c r="C23" s="8">
        <v>43271</v>
      </c>
      <c r="D23" s="8">
        <v>71046</v>
      </c>
      <c r="E23">
        <v>2012</v>
      </c>
      <c r="F23" t="s">
        <v>75</v>
      </c>
    </row>
    <row r="24" spans="2:6">
      <c r="B24" s="7" t="s">
        <v>54</v>
      </c>
      <c r="C24" s="8">
        <v>2520</v>
      </c>
      <c r="D24" s="8">
        <v>4215</v>
      </c>
      <c r="E24">
        <v>2013</v>
      </c>
      <c r="F24" t="s">
        <v>75</v>
      </c>
    </row>
    <row r="25" spans="2:6">
      <c r="B25" s="7" t="s">
        <v>71</v>
      </c>
      <c r="C25" s="8">
        <v>3309</v>
      </c>
      <c r="D25" s="8">
        <v>5568</v>
      </c>
      <c r="E25">
        <v>2013</v>
      </c>
      <c r="F25" t="s">
        <v>75</v>
      </c>
    </row>
    <row r="26" spans="2:6">
      <c r="B26" s="7" t="s">
        <v>51</v>
      </c>
      <c r="C26" s="8">
        <v>3994</v>
      </c>
      <c r="D26" s="8">
        <v>8517</v>
      </c>
      <c r="E26">
        <v>2013</v>
      </c>
      <c r="F26" t="s">
        <v>75</v>
      </c>
    </row>
    <row r="27" spans="2:6">
      <c r="B27" s="7" t="s">
        <v>65</v>
      </c>
      <c r="C27" s="8">
        <v>4461</v>
      </c>
      <c r="D27" s="8">
        <v>8481</v>
      </c>
      <c r="E27">
        <v>2013</v>
      </c>
      <c r="F27" t="s">
        <v>75</v>
      </c>
    </row>
    <row r="28" spans="2:6">
      <c r="B28" s="7" t="s">
        <v>59</v>
      </c>
      <c r="C28" s="8">
        <v>4623</v>
      </c>
      <c r="D28" s="8">
        <v>11054</v>
      </c>
      <c r="E28">
        <v>2013</v>
      </c>
      <c r="F28" t="s">
        <v>75</v>
      </c>
    </row>
    <row r="29" spans="2:6">
      <c r="B29" s="7" t="s">
        <v>64</v>
      </c>
      <c r="C29" s="8">
        <v>4857</v>
      </c>
      <c r="D29" s="8">
        <v>8512</v>
      </c>
      <c r="E29">
        <v>2013</v>
      </c>
      <c r="F29" t="s">
        <v>75</v>
      </c>
    </row>
    <row r="30" spans="2:6">
      <c r="B30" s="7" t="s">
        <v>53</v>
      </c>
      <c r="C30" s="8">
        <v>5174</v>
      </c>
      <c r="D30" s="8">
        <v>11585</v>
      </c>
      <c r="E30">
        <v>2013</v>
      </c>
      <c r="F30" t="s">
        <v>75</v>
      </c>
    </row>
    <row r="31" spans="2:6">
      <c r="B31" s="7" t="s">
        <v>70</v>
      </c>
      <c r="C31" s="8">
        <v>5543</v>
      </c>
      <c r="D31" s="8">
        <v>18307</v>
      </c>
      <c r="E31">
        <v>2013</v>
      </c>
      <c r="F31" t="s">
        <v>75</v>
      </c>
    </row>
    <row r="32" spans="2:6">
      <c r="B32" s="7" t="s">
        <v>58</v>
      </c>
      <c r="C32" s="8">
        <v>5229</v>
      </c>
      <c r="D32" s="8">
        <v>12119</v>
      </c>
      <c r="E32">
        <v>2013</v>
      </c>
      <c r="F32" t="s">
        <v>75</v>
      </c>
    </row>
    <row r="33" spans="2:6">
      <c r="B33" s="7" t="s">
        <v>67</v>
      </c>
      <c r="C33" s="8">
        <v>5475</v>
      </c>
      <c r="D33" s="8">
        <v>9795</v>
      </c>
      <c r="E33">
        <v>2013</v>
      </c>
      <c r="F33" t="s">
        <v>75</v>
      </c>
    </row>
    <row r="34" spans="2:6">
      <c r="B34" s="7" t="s">
        <v>68</v>
      </c>
      <c r="C34" s="8">
        <v>6099</v>
      </c>
      <c r="D34" s="8">
        <v>16026</v>
      </c>
      <c r="E34">
        <v>2013</v>
      </c>
      <c r="F34" t="s">
        <v>75</v>
      </c>
    </row>
    <row r="35" spans="2:6">
      <c r="B35" s="7" t="s">
        <v>60</v>
      </c>
      <c r="C35" s="8">
        <v>6918</v>
      </c>
      <c r="D35" s="8">
        <v>13653</v>
      </c>
      <c r="E35">
        <v>2013</v>
      </c>
      <c r="F35" t="s">
        <v>75</v>
      </c>
    </row>
    <row r="36" spans="2:6">
      <c r="B36" s="7" t="s">
        <v>52</v>
      </c>
      <c r="C36" s="8">
        <v>7133</v>
      </c>
      <c r="D36" s="8">
        <v>20771</v>
      </c>
      <c r="E36">
        <v>2013</v>
      </c>
      <c r="F36" t="s">
        <v>75</v>
      </c>
    </row>
    <row r="37" spans="2:6">
      <c r="B37" s="7" t="s">
        <v>69</v>
      </c>
      <c r="C37" s="8">
        <v>7932</v>
      </c>
      <c r="D37" s="8">
        <v>15261</v>
      </c>
      <c r="E37">
        <v>2013</v>
      </c>
      <c r="F37" t="s">
        <v>75</v>
      </c>
    </row>
    <row r="38" spans="2:6">
      <c r="B38" s="7" t="s">
        <v>61</v>
      </c>
      <c r="C38" s="8">
        <v>8087</v>
      </c>
      <c r="D38" s="8">
        <v>22909</v>
      </c>
      <c r="E38">
        <v>2013</v>
      </c>
      <c r="F38" t="s">
        <v>75</v>
      </c>
    </row>
    <row r="39" spans="2:6">
      <c r="B39" s="7" t="s">
        <v>55</v>
      </c>
      <c r="C39" s="8">
        <v>9873</v>
      </c>
      <c r="D39" s="8">
        <v>17753</v>
      </c>
      <c r="E39">
        <v>2013</v>
      </c>
      <c r="F39" t="s">
        <v>75</v>
      </c>
    </row>
    <row r="40" spans="2:6">
      <c r="B40" s="7" t="s">
        <v>62</v>
      </c>
      <c r="C40" s="8">
        <v>10540</v>
      </c>
      <c r="D40" s="8">
        <v>23709</v>
      </c>
      <c r="E40">
        <v>2013</v>
      </c>
      <c r="F40" t="s">
        <v>75</v>
      </c>
    </row>
    <row r="41" spans="2:6">
      <c r="B41" s="7" t="s">
        <v>63</v>
      </c>
      <c r="C41" s="8">
        <v>10104</v>
      </c>
      <c r="D41" s="8">
        <v>35847</v>
      </c>
      <c r="E41">
        <v>2013</v>
      </c>
      <c r="F41" t="s">
        <v>75</v>
      </c>
    </row>
    <row r="42" spans="2:6">
      <c r="B42" s="7" t="s">
        <v>57</v>
      </c>
      <c r="C42" s="8">
        <v>12432</v>
      </c>
      <c r="D42" s="8">
        <v>37166</v>
      </c>
      <c r="E42">
        <v>2013</v>
      </c>
      <c r="F42" t="s">
        <v>75</v>
      </c>
    </row>
    <row r="43" spans="2:6">
      <c r="B43" s="7" t="s">
        <v>50</v>
      </c>
      <c r="C43" s="8">
        <v>12436</v>
      </c>
      <c r="D43" s="8">
        <v>36882</v>
      </c>
      <c r="E43">
        <v>2013</v>
      </c>
      <c r="F43" t="s">
        <v>75</v>
      </c>
    </row>
    <row r="44" spans="2:6">
      <c r="B44" s="7" t="s">
        <v>66</v>
      </c>
      <c r="C44" s="8">
        <v>13397</v>
      </c>
      <c r="D44" s="8">
        <v>30746</v>
      </c>
      <c r="E44">
        <v>2013</v>
      </c>
      <c r="F44" t="s">
        <v>75</v>
      </c>
    </row>
    <row r="45" spans="2:6">
      <c r="B45" s="7" t="s">
        <v>56</v>
      </c>
      <c r="C45" s="8">
        <v>44079</v>
      </c>
      <c r="D45" s="8">
        <v>70884</v>
      </c>
      <c r="E45">
        <v>2013</v>
      </c>
      <c r="F45" t="s">
        <v>75</v>
      </c>
    </row>
    <row r="46" spans="2:6">
      <c r="B46" s="7" t="s">
        <v>54</v>
      </c>
      <c r="C46" s="8">
        <v>2629</v>
      </c>
      <c r="D46" s="8">
        <v>4290</v>
      </c>
      <c r="E46">
        <v>2014</v>
      </c>
      <c r="F46" t="s">
        <v>75</v>
      </c>
    </row>
    <row r="47" spans="2:6">
      <c r="B47" s="7" t="s">
        <v>71</v>
      </c>
      <c r="C47" s="8">
        <v>3303</v>
      </c>
      <c r="D47" s="8">
        <v>5878</v>
      </c>
      <c r="E47">
        <v>2014</v>
      </c>
      <c r="F47" t="s">
        <v>75</v>
      </c>
    </row>
    <row r="48" spans="2:6">
      <c r="B48" s="7" t="s">
        <v>51</v>
      </c>
      <c r="C48" s="8">
        <v>3966</v>
      </c>
      <c r="D48" s="8">
        <v>8810</v>
      </c>
      <c r="E48">
        <v>2014</v>
      </c>
      <c r="F48" t="s">
        <v>75</v>
      </c>
    </row>
    <row r="49" spans="2:6">
      <c r="B49" s="7" t="s">
        <v>65</v>
      </c>
      <c r="C49" s="8">
        <v>4581</v>
      </c>
      <c r="D49" s="8">
        <v>8956</v>
      </c>
      <c r="E49">
        <v>2014</v>
      </c>
      <c r="F49" t="s">
        <v>75</v>
      </c>
    </row>
    <row r="50" spans="2:6">
      <c r="B50" s="7" t="s">
        <v>59</v>
      </c>
      <c r="C50" s="8">
        <v>4622</v>
      </c>
      <c r="D50" s="8">
        <v>10991</v>
      </c>
      <c r="E50">
        <v>2014</v>
      </c>
      <c r="F50" t="s">
        <v>75</v>
      </c>
    </row>
    <row r="51" spans="2:6">
      <c r="B51" s="7" t="s">
        <v>64</v>
      </c>
      <c r="C51" s="8">
        <v>4846</v>
      </c>
      <c r="D51" s="8">
        <v>8903</v>
      </c>
      <c r="E51">
        <v>2014</v>
      </c>
      <c r="F51" t="s">
        <v>75</v>
      </c>
    </row>
    <row r="52" spans="2:6">
      <c r="B52" s="7" t="s">
        <v>53</v>
      </c>
      <c r="C52" s="8">
        <v>5441</v>
      </c>
      <c r="D52" s="8">
        <v>11639</v>
      </c>
      <c r="E52">
        <v>2014</v>
      </c>
      <c r="F52" t="s">
        <v>75</v>
      </c>
    </row>
    <row r="53" spans="2:6">
      <c r="B53" s="7" t="s">
        <v>70</v>
      </c>
      <c r="C53" s="8">
        <v>5552</v>
      </c>
      <c r="D53" s="8">
        <v>17392</v>
      </c>
      <c r="E53">
        <v>2014</v>
      </c>
      <c r="F53" t="s">
        <v>75</v>
      </c>
    </row>
    <row r="54" spans="2:6">
      <c r="B54" s="7" t="s">
        <v>58</v>
      </c>
      <c r="C54" s="8">
        <v>5383</v>
      </c>
      <c r="D54" s="8">
        <v>12569</v>
      </c>
      <c r="E54">
        <v>2014</v>
      </c>
      <c r="F54" t="s">
        <v>75</v>
      </c>
    </row>
    <row r="55" spans="2:6">
      <c r="B55" s="7" t="s">
        <v>67</v>
      </c>
      <c r="C55" s="8">
        <v>5662</v>
      </c>
      <c r="D55" s="8">
        <v>10062</v>
      </c>
      <c r="E55">
        <v>2014</v>
      </c>
      <c r="F55" t="s">
        <v>75</v>
      </c>
    </row>
    <row r="56" spans="2:6">
      <c r="B56" s="7" t="s">
        <v>68</v>
      </c>
      <c r="C56" s="8">
        <v>6449</v>
      </c>
      <c r="D56" s="8">
        <v>15269</v>
      </c>
      <c r="E56">
        <v>2014</v>
      </c>
      <c r="F56" t="s">
        <v>75</v>
      </c>
    </row>
    <row r="57" spans="2:6">
      <c r="B57" s="7" t="s">
        <v>60</v>
      </c>
      <c r="C57" s="8">
        <v>7080</v>
      </c>
      <c r="D57" s="8">
        <v>13571</v>
      </c>
      <c r="E57">
        <v>2014</v>
      </c>
      <c r="F57" t="s">
        <v>75</v>
      </c>
    </row>
    <row r="58" spans="2:6">
      <c r="B58" s="7" t="s">
        <v>52</v>
      </c>
      <c r="C58" s="8">
        <v>7654</v>
      </c>
      <c r="D58" s="8">
        <v>20718</v>
      </c>
      <c r="E58">
        <v>2014</v>
      </c>
      <c r="F58" t="s">
        <v>75</v>
      </c>
    </row>
    <row r="59" spans="2:6">
      <c r="B59" s="7" t="s">
        <v>69</v>
      </c>
      <c r="C59" s="8">
        <v>7802</v>
      </c>
      <c r="D59" s="8">
        <v>15760</v>
      </c>
      <c r="E59">
        <v>2014</v>
      </c>
      <c r="F59" t="s">
        <v>75</v>
      </c>
    </row>
    <row r="60" spans="2:6">
      <c r="B60" s="7" t="s">
        <v>61</v>
      </c>
      <c r="C60" s="8">
        <v>8511</v>
      </c>
      <c r="D60" s="8">
        <v>23214</v>
      </c>
      <c r="E60">
        <v>2014</v>
      </c>
      <c r="F60" t="s">
        <v>75</v>
      </c>
    </row>
    <row r="61" spans="2:6">
      <c r="B61" s="7" t="s">
        <v>55</v>
      </c>
      <c r="C61" s="8">
        <v>10021</v>
      </c>
      <c r="D61" s="8">
        <v>18492</v>
      </c>
      <c r="E61">
        <v>2014</v>
      </c>
      <c r="F61" t="s">
        <v>75</v>
      </c>
    </row>
    <row r="62" spans="2:6">
      <c r="B62" s="7" t="s">
        <v>62</v>
      </c>
      <c r="C62" s="8">
        <v>10878</v>
      </c>
      <c r="D62" s="8">
        <v>23567</v>
      </c>
      <c r="E62">
        <v>2014</v>
      </c>
      <c r="F62" t="s">
        <v>75</v>
      </c>
    </row>
    <row r="63" spans="2:6">
      <c r="B63" s="7" t="s">
        <v>63</v>
      </c>
      <c r="C63" s="8">
        <v>10731</v>
      </c>
      <c r="D63" s="8">
        <v>35947</v>
      </c>
      <c r="E63">
        <v>2014</v>
      </c>
      <c r="F63" t="s">
        <v>75</v>
      </c>
    </row>
    <row r="64" spans="2:6">
      <c r="B64" s="7" t="s">
        <v>57</v>
      </c>
      <c r="C64" s="8">
        <v>12990</v>
      </c>
      <c r="D64" s="8">
        <v>37181</v>
      </c>
      <c r="E64">
        <v>2014</v>
      </c>
      <c r="F64" t="s">
        <v>75</v>
      </c>
    </row>
    <row r="65" spans="2:6">
      <c r="B65" s="7" t="s">
        <v>50</v>
      </c>
      <c r="C65" s="8">
        <v>13491</v>
      </c>
      <c r="D65" s="8">
        <v>37518</v>
      </c>
      <c r="E65">
        <v>2014</v>
      </c>
      <c r="F65" t="s">
        <v>75</v>
      </c>
    </row>
    <row r="66" spans="2:6">
      <c r="B66" s="7" t="s">
        <v>66</v>
      </c>
      <c r="C66" s="8">
        <v>14099</v>
      </c>
      <c r="D66" s="8">
        <v>30715</v>
      </c>
      <c r="E66">
        <v>2014</v>
      </c>
      <c r="F66" t="s">
        <v>75</v>
      </c>
    </row>
    <row r="67" spans="2:6">
      <c r="B67" s="7" t="s">
        <v>56</v>
      </c>
      <c r="C67" s="8">
        <v>45890</v>
      </c>
      <c r="D67" s="8">
        <v>68878</v>
      </c>
      <c r="E67">
        <v>2014</v>
      </c>
      <c r="F67" t="s">
        <v>75</v>
      </c>
    </row>
    <row r="68" spans="2:6">
      <c r="B68" s="7" t="s">
        <v>54</v>
      </c>
      <c r="C68" s="8">
        <v>2730</v>
      </c>
      <c r="D68" s="8">
        <v>4334</v>
      </c>
      <c r="E68">
        <v>2015</v>
      </c>
      <c r="F68" t="s">
        <v>75</v>
      </c>
    </row>
    <row r="69" spans="2:6">
      <c r="B69" s="7" t="s">
        <v>71</v>
      </c>
      <c r="C69" s="8">
        <v>3473</v>
      </c>
      <c r="D69" s="8">
        <v>5964</v>
      </c>
      <c r="E69">
        <v>2015</v>
      </c>
      <c r="F69" t="s">
        <v>75</v>
      </c>
    </row>
    <row r="70" spans="2:6">
      <c r="B70" s="7" t="s">
        <v>51</v>
      </c>
      <c r="C70" s="8">
        <v>3997</v>
      </c>
      <c r="D70" s="8">
        <v>8973</v>
      </c>
      <c r="E70">
        <v>2015</v>
      </c>
      <c r="F70" t="s">
        <v>75</v>
      </c>
    </row>
    <row r="71" spans="2:6">
      <c r="B71" s="7" t="s">
        <v>65</v>
      </c>
      <c r="C71" s="8">
        <v>4602</v>
      </c>
      <c r="D71" s="8">
        <v>8519</v>
      </c>
      <c r="E71">
        <v>2015</v>
      </c>
      <c r="F71" t="s">
        <v>75</v>
      </c>
    </row>
    <row r="72" spans="2:6">
      <c r="B72" s="7" t="s">
        <v>59</v>
      </c>
      <c r="C72" s="8">
        <v>4804</v>
      </c>
      <c r="D72" s="8">
        <v>11131</v>
      </c>
      <c r="E72">
        <v>2015</v>
      </c>
      <c r="F72" t="s">
        <v>75</v>
      </c>
    </row>
    <row r="73" spans="2:6">
      <c r="B73" s="7" t="s">
        <v>64</v>
      </c>
      <c r="C73" s="8">
        <v>4958</v>
      </c>
      <c r="D73" s="8">
        <v>9059</v>
      </c>
      <c r="E73">
        <v>2015</v>
      </c>
      <c r="F73" t="s">
        <v>75</v>
      </c>
    </row>
    <row r="74" spans="2:6">
      <c r="B74" s="7" t="s">
        <v>53</v>
      </c>
      <c r="C74" s="8">
        <v>5588</v>
      </c>
      <c r="D74" s="8">
        <v>11766</v>
      </c>
      <c r="E74">
        <v>2015</v>
      </c>
      <c r="F74" t="s">
        <v>75</v>
      </c>
    </row>
    <row r="75" spans="2:6">
      <c r="B75" s="7" t="s">
        <v>70</v>
      </c>
      <c r="C75" s="8">
        <v>5296</v>
      </c>
      <c r="D75" s="8">
        <v>17513</v>
      </c>
      <c r="E75">
        <v>2015</v>
      </c>
      <c r="F75" t="s">
        <v>75</v>
      </c>
    </row>
    <row r="76" spans="2:6">
      <c r="B76" s="7" t="s">
        <v>58</v>
      </c>
      <c r="C76" s="8">
        <v>5549</v>
      </c>
      <c r="D76" s="8">
        <v>12778</v>
      </c>
      <c r="E76">
        <v>2015</v>
      </c>
      <c r="F76" t="s">
        <v>75</v>
      </c>
    </row>
    <row r="77" spans="2:6">
      <c r="B77" s="7" t="s">
        <v>67</v>
      </c>
      <c r="C77" s="8">
        <v>5600</v>
      </c>
      <c r="D77" s="8">
        <v>10203</v>
      </c>
      <c r="E77">
        <v>2015</v>
      </c>
      <c r="F77" t="s">
        <v>75</v>
      </c>
    </row>
    <row r="78" spans="2:6">
      <c r="B78" s="7" t="s">
        <v>68</v>
      </c>
      <c r="C78" s="8">
        <v>6333</v>
      </c>
      <c r="D78" s="8">
        <v>15383</v>
      </c>
      <c r="E78">
        <v>2015</v>
      </c>
      <c r="F78" t="s">
        <v>75</v>
      </c>
    </row>
    <row r="79" spans="2:6">
      <c r="B79" s="7" t="s">
        <v>60</v>
      </c>
      <c r="C79" s="8">
        <v>7203</v>
      </c>
      <c r="D79" s="8">
        <v>13647</v>
      </c>
      <c r="E79">
        <v>2015</v>
      </c>
      <c r="F79" t="s">
        <v>75</v>
      </c>
    </row>
    <row r="80" spans="2:6">
      <c r="B80" s="7" t="s">
        <v>52</v>
      </c>
      <c r="C80" s="8">
        <v>7815</v>
      </c>
      <c r="D80" s="8">
        <v>20792</v>
      </c>
      <c r="E80">
        <v>2015</v>
      </c>
      <c r="F80" t="s">
        <v>75</v>
      </c>
    </row>
    <row r="81" spans="2:6">
      <c r="B81" s="7" t="s">
        <v>69</v>
      </c>
      <c r="C81" s="8">
        <v>8095</v>
      </c>
      <c r="D81" s="8">
        <v>16035</v>
      </c>
      <c r="E81">
        <v>2015</v>
      </c>
      <c r="F81" t="s">
        <v>75</v>
      </c>
    </row>
    <row r="82" spans="2:6">
      <c r="B82" s="7" t="s">
        <v>61</v>
      </c>
      <c r="C82" s="8">
        <v>8870</v>
      </c>
      <c r="D82" s="8">
        <v>23754</v>
      </c>
      <c r="E82">
        <v>2015</v>
      </c>
      <c r="F82" t="s">
        <v>75</v>
      </c>
    </row>
    <row r="83" spans="2:6">
      <c r="B83" s="7" t="s">
        <v>55</v>
      </c>
      <c r="C83" s="8">
        <v>10584</v>
      </c>
      <c r="D83" s="8">
        <v>18759</v>
      </c>
      <c r="E83">
        <v>2015</v>
      </c>
      <c r="F83" t="s">
        <v>75</v>
      </c>
    </row>
    <row r="84" spans="2:6">
      <c r="B84" s="7" t="s">
        <v>62</v>
      </c>
      <c r="C84" s="8">
        <v>11028</v>
      </c>
      <c r="D84" s="8">
        <v>23777</v>
      </c>
      <c r="E84">
        <v>2015</v>
      </c>
      <c r="F84" t="s">
        <v>75</v>
      </c>
    </row>
    <row r="85" spans="2:6">
      <c r="B85" s="7" t="s">
        <v>63</v>
      </c>
      <c r="C85" s="8">
        <v>11166</v>
      </c>
      <c r="D85" s="8">
        <v>36608</v>
      </c>
      <c r="E85">
        <v>2015</v>
      </c>
      <c r="F85" t="s">
        <v>75</v>
      </c>
    </row>
    <row r="86" spans="2:6">
      <c r="B86" s="7" t="s">
        <v>57</v>
      </c>
      <c r="C86" s="8">
        <v>13047</v>
      </c>
      <c r="D86" s="8">
        <v>37690</v>
      </c>
      <c r="E86">
        <v>2015</v>
      </c>
      <c r="F86" t="s">
        <v>75</v>
      </c>
    </row>
    <row r="87" spans="2:6">
      <c r="B87" s="7" t="s">
        <v>50</v>
      </c>
      <c r="C87" s="8">
        <v>13381</v>
      </c>
      <c r="D87" s="8">
        <v>38265</v>
      </c>
      <c r="E87">
        <v>2015</v>
      </c>
      <c r="F87" t="s">
        <v>75</v>
      </c>
    </row>
    <row r="88" spans="2:6">
      <c r="B88" s="7" t="s">
        <v>66</v>
      </c>
      <c r="C88" s="8">
        <v>14346</v>
      </c>
      <c r="D88" s="8">
        <v>31059</v>
      </c>
      <c r="E88">
        <v>2015</v>
      </c>
      <c r="F88" t="s">
        <v>75</v>
      </c>
    </row>
    <row r="89" spans="2:6">
      <c r="B89" s="7" t="s">
        <v>56</v>
      </c>
      <c r="C89" s="8">
        <v>46068</v>
      </c>
      <c r="D89" s="8">
        <v>68659</v>
      </c>
      <c r="E89">
        <v>2015</v>
      </c>
      <c r="F89" t="s">
        <v>75</v>
      </c>
    </row>
    <row r="90" spans="2:6">
      <c r="B90" s="7" t="s">
        <v>54</v>
      </c>
      <c r="C90" s="8">
        <v>2713</v>
      </c>
      <c r="D90" s="8">
        <v>4362</v>
      </c>
      <c r="E90">
        <v>2016</v>
      </c>
      <c r="F90" t="s">
        <v>75</v>
      </c>
    </row>
    <row r="91" spans="2:6">
      <c r="B91" s="7" t="s">
        <v>71</v>
      </c>
      <c r="C91" s="8">
        <v>3469</v>
      </c>
      <c r="D91" s="8">
        <v>6034</v>
      </c>
      <c r="E91">
        <v>2016</v>
      </c>
      <c r="F91" t="s">
        <v>75</v>
      </c>
    </row>
    <row r="92" spans="2:6">
      <c r="B92" s="7" t="s">
        <v>51</v>
      </c>
      <c r="C92" s="8">
        <v>3987</v>
      </c>
      <c r="D92" s="8">
        <v>9125</v>
      </c>
      <c r="E92">
        <v>2016</v>
      </c>
      <c r="F92" t="s">
        <v>75</v>
      </c>
    </row>
    <row r="93" spans="2:6">
      <c r="B93" s="7" t="s">
        <v>65</v>
      </c>
      <c r="C93" s="8">
        <v>4586</v>
      </c>
      <c r="D93" s="8">
        <v>8558</v>
      </c>
      <c r="E93">
        <v>2016</v>
      </c>
      <c r="F93" t="s">
        <v>75</v>
      </c>
    </row>
    <row r="94" spans="2:6">
      <c r="B94" s="7" t="s">
        <v>59</v>
      </c>
      <c r="C94" s="8">
        <v>4560</v>
      </c>
      <c r="D94" s="8">
        <v>11270</v>
      </c>
      <c r="E94">
        <v>2016</v>
      </c>
      <c r="F94" t="s">
        <v>75</v>
      </c>
    </row>
    <row r="95" spans="2:6">
      <c r="B95" s="7" t="s">
        <v>64</v>
      </c>
      <c r="C95" s="8">
        <v>5033</v>
      </c>
      <c r="D95" s="8">
        <v>9187</v>
      </c>
      <c r="E95">
        <v>2016</v>
      </c>
      <c r="F95" t="s">
        <v>75</v>
      </c>
    </row>
    <row r="96" spans="2:6">
      <c r="B96" s="7" t="s">
        <v>53</v>
      </c>
      <c r="C96" s="8">
        <v>5356</v>
      </c>
      <c r="D96" s="8">
        <v>11878</v>
      </c>
      <c r="E96">
        <v>2016</v>
      </c>
      <c r="F96" t="s">
        <v>75</v>
      </c>
    </row>
    <row r="97" spans="2:6">
      <c r="B97" s="7" t="s">
        <v>70</v>
      </c>
      <c r="C97" s="8">
        <v>5502</v>
      </c>
      <c r="D97" s="8">
        <v>17631</v>
      </c>
      <c r="E97">
        <v>2016</v>
      </c>
      <c r="F97" t="s">
        <v>75</v>
      </c>
    </row>
    <row r="98" spans="2:6">
      <c r="B98" s="7" t="s">
        <v>58</v>
      </c>
      <c r="C98" s="8">
        <v>5558</v>
      </c>
      <c r="D98" s="8">
        <v>12968</v>
      </c>
      <c r="E98">
        <v>2016</v>
      </c>
      <c r="F98" t="s">
        <v>75</v>
      </c>
    </row>
    <row r="99" spans="2:6">
      <c r="B99" s="7" t="s">
        <v>67</v>
      </c>
      <c r="C99" s="8">
        <v>5360</v>
      </c>
      <c r="D99" s="8">
        <v>10321</v>
      </c>
      <c r="E99">
        <v>2016</v>
      </c>
      <c r="F99" t="s">
        <v>75</v>
      </c>
    </row>
    <row r="100" spans="2:6">
      <c r="B100" s="7" t="s">
        <v>68</v>
      </c>
      <c r="C100" s="8">
        <v>6210</v>
      </c>
      <c r="D100" s="8">
        <v>15486</v>
      </c>
      <c r="E100">
        <v>2016</v>
      </c>
      <c r="F100" t="s">
        <v>75</v>
      </c>
    </row>
    <row r="101" spans="2:6">
      <c r="B101" s="7" t="s">
        <v>60</v>
      </c>
      <c r="C101" s="8">
        <v>7173</v>
      </c>
      <c r="D101" s="8">
        <v>13714</v>
      </c>
      <c r="E101">
        <v>2016</v>
      </c>
      <c r="F101" t="s">
        <v>75</v>
      </c>
    </row>
    <row r="102" spans="2:6">
      <c r="B102" s="7" t="s">
        <v>52</v>
      </c>
      <c r="C102" s="8">
        <v>7901</v>
      </c>
      <c r="D102" s="8">
        <v>21029</v>
      </c>
      <c r="E102">
        <v>2016</v>
      </c>
      <c r="F102" t="s">
        <v>75</v>
      </c>
    </row>
    <row r="103" spans="2:6">
      <c r="B103" s="7" t="s">
        <v>69</v>
      </c>
      <c r="C103" s="8">
        <v>7881</v>
      </c>
      <c r="D103" s="8">
        <v>16274</v>
      </c>
      <c r="E103">
        <v>2016</v>
      </c>
      <c r="F103" t="s">
        <v>75</v>
      </c>
    </row>
    <row r="104" spans="2:6">
      <c r="B104" s="7" t="s">
        <v>61</v>
      </c>
      <c r="C104" s="8">
        <v>8779</v>
      </c>
      <c r="D104" s="8">
        <v>24196</v>
      </c>
      <c r="E104">
        <v>2016</v>
      </c>
      <c r="F104" t="s">
        <v>75</v>
      </c>
    </row>
    <row r="105" spans="2:6">
      <c r="B105" s="7" t="s">
        <v>55</v>
      </c>
      <c r="C105" s="8">
        <v>10410</v>
      </c>
      <c r="D105" s="8">
        <v>18946</v>
      </c>
      <c r="E105">
        <v>2016</v>
      </c>
      <c r="F105" t="s">
        <v>75</v>
      </c>
    </row>
    <row r="106" spans="2:6">
      <c r="B106" s="7" t="s">
        <v>62</v>
      </c>
      <c r="C106" s="8">
        <v>11141</v>
      </c>
      <c r="D106" s="8">
        <v>23939</v>
      </c>
      <c r="E106">
        <v>2016</v>
      </c>
      <c r="F106" t="s">
        <v>75</v>
      </c>
    </row>
    <row r="107" spans="2:6">
      <c r="B107" s="7" t="s">
        <v>63</v>
      </c>
      <c r="C107" s="8">
        <v>10890</v>
      </c>
      <c r="D107" s="8">
        <v>37267</v>
      </c>
      <c r="E107">
        <v>2016</v>
      </c>
      <c r="F107" t="s">
        <v>75</v>
      </c>
    </row>
    <row r="108" spans="2:6">
      <c r="B108" s="7" t="s">
        <v>57</v>
      </c>
      <c r="C108" s="8">
        <v>13163</v>
      </c>
      <c r="D108" s="8">
        <v>37905</v>
      </c>
      <c r="E108">
        <v>2016</v>
      </c>
      <c r="F108" t="s">
        <v>75</v>
      </c>
    </row>
    <row r="109" spans="2:6">
      <c r="B109" s="7" t="s">
        <v>50</v>
      </c>
      <c r="C109" s="8">
        <v>12920</v>
      </c>
      <c r="D109" s="8">
        <v>39048</v>
      </c>
      <c r="E109">
        <v>2016</v>
      </c>
      <c r="F109" t="s">
        <v>75</v>
      </c>
    </row>
    <row r="110" spans="2:6">
      <c r="B110" s="7" t="s">
        <v>66</v>
      </c>
      <c r="C110" s="8">
        <v>14406</v>
      </c>
      <c r="D110" s="8">
        <v>31392</v>
      </c>
      <c r="E110">
        <v>2016</v>
      </c>
      <c r="F110" t="s">
        <v>75</v>
      </c>
    </row>
    <row r="111" spans="2:6">
      <c r="B111" s="7" t="s">
        <v>56</v>
      </c>
      <c r="C111" s="8">
        <v>45456</v>
      </c>
      <c r="D111" s="8">
        <v>68322</v>
      </c>
      <c r="E111">
        <v>2016</v>
      </c>
      <c r="F111" t="s">
        <v>75</v>
      </c>
    </row>
    <row r="112" spans="2:6">
      <c r="B112" s="7" t="s">
        <v>54</v>
      </c>
      <c r="C112" s="8">
        <v>2298</v>
      </c>
      <c r="D112" s="8">
        <v>4168</v>
      </c>
      <c r="E112">
        <v>2012</v>
      </c>
      <c r="F112" t="s">
        <v>45</v>
      </c>
    </row>
    <row r="113" spans="2:6">
      <c r="B113" s="7" t="s">
        <v>71</v>
      </c>
      <c r="C113" s="8">
        <v>3217</v>
      </c>
      <c r="D113" s="8">
        <v>5638</v>
      </c>
      <c r="E113">
        <v>2012</v>
      </c>
      <c r="F113" t="s">
        <v>45</v>
      </c>
    </row>
    <row r="114" spans="2:6">
      <c r="B114" s="7" t="s">
        <v>51</v>
      </c>
      <c r="C114" s="8">
        <v>3948</v>
      </c>
      <c r="D114" s="8">
        <v>8162</v>
      </c>
      <c r="E114">
        <v>2012</v>
      </c>
      <c r="F114" t="s">
        <v>45</v>
      </c>
    </row>
    <row r="115" spans="2:6">
      <c r="B115" s="7" t="s">
        <v>65</v>
      </c>
      <c r="C115" s="8">
        <v>4356</v>
      </c>
      <c r="D115" s="8">
        <v>8098</v>
      </c>
      <c r="E115">
        <v>2012</v>
      </c>
      <c r="F115" t="s">
        <v>45</v>
      </c>
    </row>
    <row r="116" spans="2:6">
      <c r="B116" s="7" t="s">
        <v>59</v>
      </c>
      <c r="C116" s="8">
        <v>4558</v>
      </c>
      <c r="D116" s="8">
        <v>10452</v>
      </c>
      <c r="E116">
        <v>2012</v>
      </c>
      <c r="F116" t="s">
        <v>45</v>
      </c>
    </row>
    <row r="117" spans="2:6">
      <c r="B117" s="7" t="s">
        <v>64</v>
      </c>
      <c r="C117" s="8">
        <v>4699</v>
      </c>
      <c r="D117" s="8">
        <v>8248</v>
      </c>
      <c r="E117">
        <v>2012</v>
      </c>
      <c r="F117" t="s">
        <v>45</v>
      </c>
    </row>
    <row r="118" spans="2:6">
      <c r="B118" s="7" t="s">
        <v>53</v>
      </c>
      <c r="C118" s="8">
        <v>5219</v>
      </c>
      <c r="D118" s="8">
        <v>11233</v>
      </c>
      <c r="E118">
        <v>2012</v>
      </c>
      <c r="F118" t="s">
        <v>45</v>
      </c>
    </row>
    <row r="119" spans="2:6">
      <c r="B119" s="7" t="s">
        <v>70</v>
      </c>
      <c r="C119" s="8">
        <v>5469</v>
      </c>
      <c r="D119" s="8">
        <v>16834</v>
      </c>
      <c r="E119">
        <v>2012</v>
      </c>
      <c r="F119" t="s">
        <v>45</v>
      </c>
    </row>
    <row r="120" spans="2:6">
      <c r="B120" s="7" t="s">
        <v>58</v>
      </c>
      <c r="C120" s="8">
        <v>5131</v>
      </c>
      <c r="D120" s="8">
        <v>11698</v>
      </c>
      <c r="E120">
        <v>2012</v>
      </c>
      <c r="F120" t="s">
        <v>45</v>
      </c>
    </row>
    <row r="121" spans="2:6">
      <c r="B121" s="7" t="s">
        <v>67</v>
      </c>
      <c r="C121" s="8">
        <v>5256</v>
      </c>
      <c r="D121" s="8">
        <v>9620</v>
      </c>
      <c r="E121">
        <v>2012</v>
      </c>
      <c r="F121" t="s">
        <v>45</v>
      </c>
    </row>
    <row r="122" spans="2:6">
      <c r="B122" s="7" t="s">
        <v>68</v>
      </c>
      <c r="C122" s="8">
        <v>5914</v>
      </c>
      <c r="D122" s="8">
        <v>14812</v>
      </c>
      <c r="E122">
        <v>2012</v>
      </c>
      <c r="F122" t="s">
        <v>45</v>
      </c>
    </row>
    <row r="123" spans="2:6">
      <c r="B123" s="7" t="s">
        <v>60</v>
      </c>
      <c r="C123" s="8">
        <v>7005</v>
      </c>
      <c r="D123" s="8">
        <v>13453</v>
      </c>
      <c r="E123">
        <v>2012</v>
      </c>
      <c r="F123" t="s">
        <v>45</v>
      </c>
    </row>
    <row r="124" spans="2:6">
      <c r="B124" s="7" t="s">
        <v>52</v>
      </c>
      <c r="C124" s="8">
        <v>7148</v>
      </c>
      <c r="D124" s="8">
        <v>19509</v>
      </c>
      <c r="E124">
        <v>2012</v>
      </c>
      <c r="F124" t="s">
        <v>45</v>
      </c>
    </row>
    <row r="125" spans="2:6">
      <c r="B125" s="7" t="s">
        <v>69</v>
      </c>
      <c r="C125" s="8">
        <v>7885</v>
      </c>
      <c r="D125" s="8">
        <v>14692</v>
      </c>
      <c r="E125">
        <v>2012</v>
      </c>
      <c r="F125" t="s">
        <v>45</v>
      </c>
    </row>
    <row r="126" spans="2:6">
      <c r="B126" s="7" t="s">
        <v>61</v>
      </c>
      <c r="C126" s="8">
        <v>7449</v>
      </c>
      <c r="D126" s="8">
        <v>20915</v>
      </c>
      <c r="E126">
        <v>2012</v>
      </c>
      <c r="F126" t="s">
        <v>45</v>
      </c>
    </row>
    <row r="127" spans="2:6">
      <c r="B127" s="7" t="s">
        <v>55</v>
      </c>
      <c r="C127" s="8">
        <v>9834</v>
      </c>
      <c r="D127" s="8">
        <v>17131</v>
      </c>
      <c r="E127">
        <v>2012</v>
      </c>
      <c r="F127" t="s">
        <v>45</v>
      </c>
    </row>
    <row r="128" spans="2:6">
      <c r="B128" s="7" t="s">
        <v>62</v>
      </c>
      <c r="C128" s="8">
        <v>9681</v>
      </c>
      <c r="D128" s="8">
        <v>22406</v>
      </c>
      <c r="E128">
        <v>2012</v>
      </c>
      <c r="F128" t="s">
        <v>45</v>
      </c>
    </row>
    <row r="129" spans="2:6">
      <c r="B129" s="7" t="s">
        <v>63</v>
      </c>
      <c r="C129" s="8">
        <v>9792</v>
      </c>
      <c r="D129" s="8">
        <v>33479</v>
      </c>
      <c r="E129">
        <v>2012</v>
      </c>
      <c r="F129" t="s">
        <v>45</v>
      </c>
    </row>
    <row r="130" spans="2:6">
      <c r="B130" s="7" t="s">
        <v>57</v>
      </c>
      <c r="C130" s="8">
        <v>11640</v>
      </c>
      <c r="D130" s="8">
        <v>35485</v>
      </c>
      <c r="E130">
        <v>2012</v>
      </c>
      <c r="F130" t="s">
        <v>45</v>
      </c>
    </row>
    <row r="131" spans="2:6">
      <c r="B131" s="7" t="s">
        <v>50</v>
      </c>
      <c r="C131" s="8">
        <v>11513</v>
      </c>
      <c r="D131" s="8">
        <v>35196</v>
      </c>
      <c r="E131">
        <v>2012</v>
      </c>
      <c r="F131" t="s">
        <v>45</v>
      </c>
    </row>
    <row r="132" spans="2:6">
      <c r="B132" s="7" t="s">
        <v>66</v>
      </c>
      <c r="C132" s="8">
        <v>12905</v>
      </c>
      <c r="D132" s="8">
        <v>29541</v>
      </c>
      <c r="E132">
        <v>2012</v>
      </c>
      <c r="F132" t="s">
        <v>45</v>
      </c>
    </row>
    <row r="133" spans="2:6">
      <c r="B133" s="7" t="s">
        <v>56</v>
      </c>
      <c r="C133" s="8">
        <v>43271</v>
      </c>
      <c r="D133" s="8">
        <v>68385</v>
      </c>
      <c r="E133">
        <v>2012</v>
      </c>
      <c r="F133" t="s">
        <v>45</v>
      </c>
    </row>
    <row r="134" spans="2:6">
      <c r="B134" s="7" t="s">
        <v>54</v>
      </c>
      <c r="C134" s="8">
        <v>2520</v>
      </c>
      <c r="D134" s="8">
        <v>4184</v>
      </c>
      <c r="E134">
        <v>2013</v>
      </c>
      <c r="F134" t="s">
        <v>45</v>
      </c>
    </row>
    <row r="135" spans="2:6">
      <c r="B135" s="7" t="s">
        <v>71</v>
      </c>
      <c r="C135" s="8">
        <v>3309</v>
      </c>
      <c r="D135" s="8">
        <v>5569</v>
      </c>
      <c r="E135">
        <v>2013</v>
      </c>
      <c r="F135" t="s">
        <v>45</v>
      </c>
    </row>
    <row r="136" spans="2:6">
      <c r="B136" s="7" t="s">
        <v>51</v>
      </c>
      <c r="C136" s="8">
        <v>3994</v>
      </c>
      <c r="D136" s="8">
        <v>8219</v>
      </c>
      <c r="E136">
        <v>2013</v>
      </c>
      <c r="F136" t="s">
        <v>45</v>
      </c>
    </row>
    <row r="137" spans="2:6">
      <c r="B137" s="7" t="s">
        <v>65</v>
      </c>
      <c r="C137" s="8">
        <v>4461</v>
      </c>
      <c r="D137" s="8">
        <v>8146</v>
      </c>
      <c r="E137">
        <v>2013</v>
      </c>
      <c r="F137" t="s">
        <v>45</v>
      </c>
    </row>
    <row r="138" spans="2:6">
      <c r="B138" s="7" t="s">
        <v>59</v>
      </c>
      <c r="C138" s="8">
        <v>4623</v>
      </c>
      <c r="D138" s="8">
        <v>10681</v>
      </c>
      <c r="E138">
        <v>2013</v>
      </c>
      <c r="F138" t="s">
        <v>45</v>
      </c>
    </row>
    <row r="139" spans="2:6">
      <c r="B139" s="7" t="s">
        <v>64</v>
      </c>
      <c r="C139" s="8">
        <v>4857</v>
      </c>
      <c r="D139" s="8">
        <v>8356</v>
      </c>
      <c r="E139">
        <v>2013</v>
      </c>
      <c r="F139" t="s">
        <v>45</v>
      </c>
    </row>
    <row r="140" spans="2:6">
      <c r="B140" s="7" t="s">
        <v>53</v>
      </c>
      <c r="C140" s="8">
        <v>5174</v>
      </c>
      <c r="D140" s="8">
        <v>11362</v>
      </c>
      <c r="E140">
        <v>2013</v>
      </c>
      <c r="F140" t="s">
        <v>45</v>
      </c>
    </row>
    <row r="141" spans="2:6">
      <c r="B141" s="7" t="s">
        <v>70</v>
      </c>
      <c r="C141" s="8">
        <v>5543</v>
      </c>
      <c r="D141" s="8">
        <v>17658</v>
      </c>
      <c r="E141">
        <v>2013</v>
      </c>
      <c r="F141" t="s">
        <v>45</v>
      </c>
    </row>
    <row r="142" spans="2:6">
      <c r="B142" s="7" t="s">
        <v>58</v>
      </c>
      <c r="C142" s="8">
        <v>5229</v>
      </c>
      <c r="D142" s="8">
        <v>11792</v>
      </c>
      <c r="E142">
        <v>2013</v>
      </c>
      <c r="F142" t="s">
        <v>45</v>
      </c>
    </row>
    <row r="143" spans="2:6">
      <c r="B143" s="7" t="s">
        <v>67</v>
      </c>
      <c r="C143" s="8">
        <v>5475</v>
      </c>
      <c r="D143" s="8">
        <v>9674</v>
      </c>
      <c r="E143">
        <v>2013</v>
      </c>
      <c r="F143" t="s">
        <v>45</v>
      </c>
    </row>
    <row r="144" spans="2:6">
      <c r="B144" s="7" t="s">
        <v>68</v>
      </c>
      <c r="C144" s="8">
        <v>6099</v>
      </c>
      <c r="D144" s="8">
        <v>15434</v>
      </c>
      <c r="E144">
        <v>2013</v>
      </c>
      <c r="F144" t="s">
        <v>45</v>
      </c>
    </row>
    <row r="145" spans="2:6">
      <c r="B145" s="7" t="s">
        <v>60</v>
      </c>
      <c r="C145" s="8">
        <v>6918</v>
      </c>
      <c r="D145" s="8">
        <v>13710</v>
      </c>
      <c r="E145">
        <v>2013</v>
      </c>
      <c r="F145" t="s">
        <v>45</v>
      </c>
    </row>
    <row r="146" spans="2:6">
      <c r="B146" s="7" t="s">
        <v>52</v>
      </c>
      <c r="C146" s="8">
        <v>7133</v>
      </c>
      <c r="D146" s="8">
        <v>20000</v>
      </c>
      <c r="E146">
        <v>2013</v>
      </c>
      <c r="F146" t="s">
        <v>45</v>
      </c>
    </row>
    <row r="147" spans="2:6">
      <c r="B147" s="7" t="s">
        <v>69</v>
      </c>
      <c r="C147" s="8">
        <v>7932</v>
      </c>
      <c r="D147" s="8">
        <v>14870</v>
      </c>
      <c r="E147">
        <v>2013</v>
      </c>
      <c r="F147" t="s">
        <v>45</v>
      </c>
    </row>
    <row r="148" spans="2:6">
      <c r="B148" s="7" t="s">
        <v>61</v>
      </c>
      <c r="C148" s="8">
        <v>8087</v>
      </c>
      <c r="D148" s="8">
        <v>21866</v>
      </c>
      <c r="E148">
        <v>2013</v>
      </c>
      <c r="F148" t="s">
        <v>45</v>
      </c>
    </row>
    <row r="149" spans="2:6">
      <c r="B149" s="7" t="s">
        <v>55</v>
      </c>
      <c r="C149" s="8">
        <v>9873</v>
      </c>
      <c r="D149" s="8">
        <v>17233</v>
      </c>
      <c r="E149">
        <v>2013</v>
      </c>
      <c r="F149" t="s">
        <v>45</v>
      </c>
    </row>
    <row r="150" spans="2:6">
      <c r="B150" s="7" t="s">
        <v>62</v>
      </c>
      <c r="C150" s="8">
        <v>10540</v>
      </c>
      <c r="D150" s="8">
        <v>22823</v>
      </c>
      <c r="E150">
        <v>2013</v>
      </c>
      <c r="F150" t="s">
        <v>45</v>
      </c>
    </row>
    <row r="151" spans="2:6">
      <c r="B151" s="7" t="s">
        <v>63</v>
      </c>
      <c r="C151" s="8">
        <v>10104</v>
      </c>
      <c r="D151" s="8">
        <v>34560</v>
      </c>
      <c r="E151">
        <v>2013</v>
      </c>
      <c r="F151" t="s">
        <v>45</v>
      </c>
    </row>
    <row r="152" spans="2:6">
      <c r="B152" s="7" t="s">
        <v>57</v>
      </c>
      <c r="C152" s="8">
        <v>12432</v>
      </c>
      <c r="D152" s="8">
        <v>36004</v>
      </c>
      <c r="E152">
        <v>2013</v>
      </c>
      <c r="F152" t="s">
        <v>45</v>
      </c>
    </row>
    <row r="153" spans="2:6">
      <c r="B153" s="7" t="s">
        <v>50</v>
      </c>
      <c r="C153" s="8">
        <v>12436</v>
      </c>
      <c r="D153" s="8">
        <v>35671</v>
      </c>
      <c r="E153">
        <v>2013</v>
      </c>
      <c r="F153" t="s">
        <v>45</v>
      </c>
    </row>
    <row r="154" spans="2:6">
      <c r="B154" s="7" t="s">
        <v>66</v>
      </c>
      <c r="C154" s="8">
        <v>13397</v>
      </c>
      <c r="D154" s="8">
        <v>29817</v>
      </c>
      <c r="E154">
        <v>2013</v>
      </c>
      <c r="F154" t="s">
        <v>45</v>
      </c>
    </row>
    <row r="155" spans="2:6">
      <c r="B155" s="7" t="s">
        <v>56</v>
      </c>
      <c r="C155" s="8">
        <v>44079</v>
      </c>
      <c r="D155" s="8">
        <v>68268</v>
      </c>
      <c r="E155">
        <v>2013</v>
      </c>
      <c r="F155" t="s">
        <v>45</v>
      </c>
    </row>
    <row r="156" spans="2:6">
      <c r="B156" s="7" t="s">
        <v>54</v>
      </c>
      <c r="C156" s="8">
        <v>2629</v>
      </c>
      <c r="D156" s="8">
        <v>4167</v>
      </c>
      <c r="E156">
        <v>2014</v>
      </c>
      <c r="F156" t="s">
        <v>45</v>
      </c>
    </row>
    <row r="157" spans="2:6">
      <c r="B157" s="7" t="s">
        <v>71</v>
      </c>
      <c r="C157" s="8">
        <v>3303</v>
      </c>
      <c r="D157" s="8">
        <v>5717</v>
      </c>
      <c r="E157">
        <v>2014</v>
      </c>
      <c r="F157" t="s">
        <v>45</v>
      </c>
    </row>
    <row r="158" spans="2:6">
      <c r="B158" s="7" t="s">
        <v>51</v>
      </c>
      <c r="C158" s="8">
        <v>3966</v>
      </c>
      <c r="D158" s="8">
        <v>8534</v>
      </c>
      <c r="E158">
        <v>2014</v>
      </c>
      <c r="F158" t="s">
        <v>45</v>
      </c>
    </row>
    <row r="159" spans="2:6">
      <c r="B159" s="7" t="s">
        <v>65</v>
      </c>
      <c r="C159" s="8">
        <v>4581</v>
      </c>
      <c r="D159" s="8">
        <v>8149</v>
      </c>
      <c r="E159">
        <v>2014</v>
      </c>
      <c r="F159" t="s">
        <v>45</v>
      </c>
    </row>
    <row r="160" spans="2:6">
      <c r="B160" s="7" t="s">
        <v>59</v>
      </c>
      <c r="C160" s="8">
        <v>4622</v>
      </c>
      <c r="D160" s="8">
        <v>10637</v>
      </c>
      <c r="E160">
        <v>2014</v>
      </c>
      <c r="F160" t="s">
        <v>45</v>
      </c>
    </row>
    <row r="161" spans="2:6">
      <c r="B161" s="7" t="s">
        <v>64</v>
      </c>
      <c r="C161" s="8">
        <v>4846</v>
      </c>
      <c r="D161" s="8">
        <v>8609</v>
      </c>
      <c r="E161">
        <v>2014</v>
      </c>
      <c r="F161" t="s">
        <v>45</v>
      </c>
    </row>
    <row r="162" spans="2:6">
      <c r="B162" s="7" t="s">
        <v>53</v>
      </c>
      <c r="C162" s="8">
        <v>5441</v>
      </c>
      <c r="D162" s="8">
        <v>11287</v>
      </c>
      <c r="E162">
        <v>2014</v>
      </c>
      <c r="F162" t="s">
        <v>45</v>
      </c>
    </row>
    <row r="163" spans="2:6">
      <c r="B163" s="7" t="s">
        <v>70</v>
      </c>
      <c r="C163" s="8">
        <v>5552</v>
      </c>
      <c r="D163" s="8">
        <v>16799</v>
      </c>
      <c r="E163">
        <v>2014</v>
      </c>
      <c r="F163" t="s">
        <v>45</v>
      </c>
    </row>
    <row r="164" spans="2:6">
      <c r="B164" s="7" t="s">
        <v>58</v>
      </c>
      <c r="C164" s="8">
        <v>5383</v>
      </c>
      <c r="D164" s="8">
        <v>12138</v>
      </c>
      <c r="E164">
        <v>2014</v>
      </c>
      <c r="F164" t="s">
        <v>45</v>
      </c>
    </row>
    <row r="165" spans="2:6">
      <c r="B165" s="7" t="s">
        <v>67</v>
      </c>
      <c r="C165" s="8">
        <v>5662</v>
      </c>
      <c r="D165" s="8">
        <v>9779</v>
      </c>
      <c r="E165">
        <v>2014</v>
      </c>
      <c r="F165" t="s">
        <v>45</v>
      </c>
    </row>
    <row r="166" spans="2:6">
      <c r="B166" s="7" t="s">
        <v>68</v>
      </c>
      <c r="C166" s="8">
        <v>6449</v>
      </c>
      <c r="D166" s="8">
        <v>14734</v>
      </c>
      <c r="E166">
        <v>2014</v>
      </c>
      <c r="F166" t="s">
        <v>45</v>
      </c>
    </row>
    <row r="167" spans="2:6">
      <c r="B167" s="7" t="s">
        <v>60</v>
      </c>
      <c r="C167" s="8">
        <v>7080</v>
      </c>
      <c r="D167" s="8">
        <v>13208</v>
      </c>
      <c r="E167">
        <v>2014</v>
      </c>
      <c r="F167" t="s">
        <v>45</v>
      </c>
    </row>
    <row r="168" spans="2:6">
      <c r="B168" s="7" t="s">
        <v>52</v>
      </c>
      <c r="C168" s="8">
        <v>7654</v>
      </c>
      <c r="D168" s="8">
        <v>19837</v>
      </c>
      <c r="E168">
        <v>2014</v>
      </c>
      <c r="F168" t="s">
        <v>45</v>
      </c>
    </row>
    <row r="169" spans="2:6">
      <c r="B169" s="7" t="s">
        <v>69</v>
      </c>
      <c r="C169" s="8">
        <v>7802</v>
      </c>
      <c r="D169" s="8">
        <v>15244</v>
      </c>
      <c r="E169">
        <v>2014</v>
      </c>
      <c r="F169" t="s">
        <v>45</v>
      </c>
    </row>
    <row r="170" spans="2:6">
      <c r="B170" s="7" t="s">
        <v>61</v>
      </c>
      <c r="C170" s="8">
        <v>8511</v>
      </c>
      <c r="D170" s="8">
        <v>22304</v>
      </c>
      <c r="E170">
        <v>2014</v>
      </c>
      <c r="F170" t="s">
        <v>45</v>
      </c>
    </row>
    <row r="171" spans="2:6">
      <c r="B171" s="7" t="s">
        <v>55</v>
      </c>
      <c r="C171" s="8">
        <v>10021</v>
      </c>
      <c r="D171" s="8">
        <v>17809</v>
      </c>
      <c r="E171">
        <v>2014</v>
      </c>
      <c r="F171" t="s">
        <v>45</v>
      </c>
    </row>
    <row r="172" spans="2:6">
      <c r="B172" s="7" t="s">
        <v>62</v>
      </c>
      <c r="C172" s="8">
        <v>10878</v>
      </c>
      <c r="D172" s="8">
        <v>22779</v>
      </c>
      <c r="E172">
        <v>2014</v>
      </c>
      <c r="F172" t="s">
        <v>45</v>
      </c>
    </row>
    <row r="173" spans="2:6">
      <c r="B173" s="7" t="s">
        <v>63</v>
      </c>
      <c r="C173" s="8">
        <v>10731</v>
      </c>
      <c r="D173" s="8">
        <v>34707</v>
      </c>
      <c r="E173">
        <v>2014</v>
      </c>
      <c r="F173" t="s">
        <v>45</v>
      </c>
    </row>
    <row r="174" spans="2:6">
      <c r="B174" s="7" t="s">
        <v>57</v>
      </c>
      <c r="C174" s="8">
        <v>12990</v>
      </c>
      <c r="D174" s="8">
        <v>35307</v>
      </c>
      <c r="E174">
        <v>2014</v>
      </c>
      <c r="F174" t="s">
        <v>45</v>
      </c>
    </row>
    <row r="175" spans="2:6">
      <c r="B175" s="7" t="s">
        <v>50</v>
      </c>
      <c r="C175" s="8">
        <v>13491</v>
      </c>
      <c r="D175" s="8">
        <v>36194</v>
      </c>
      <c r="E175">
        <v>2014</v>
      </c>
      <c r="F175" t="s">
        <v>45</v>
      </c>
    </row>
    <row r="176" spans="2:6">
      <c r="B176" s="7" t="s">
        <v>66</v>
      </c>
      <c r="C176" s="8">
        <v>14099</v>
      </c>
      <c r="D176" s="8">
        <v>29702</v>
      </c>
      <c r="E176">
        <v>2014</v>
      </c>
      <c r="F176" t="s">
        <v>45</v>
      </c>
    </row>
    <row r="177" spans="2:6">
      <c r="B177" s="7" t="s">
        <v>56</v>
      </c>
      <c r="C177" s="8">
        <v>45890</v>
      </c>
      <c r="D177" s="8">
        <v>66269</v>
      </c>
      <c r="E177">
        <v>2014</v>
      </c>
      <c r="F177" t="s">
        <v>45</v>
      </c>
    </row>
    <row r="178" spans="2:6">
      <c r="B178" s="7" t="s">
        <v>54</v>
      </c>
      <c r="C178" s="8">
        <v>2730</v>
      </c>
      <c r="D178" s="8">
        <v>4197</v>
      </c>
      <c r="E178">
        <v>2015</v>
      </c>
      <c r="F178" t="s">
        <v>45</v>
      </c>
    </row>
    <row r="179" spans="2:6">
      <c r="B179" s="7" t="s">
        <v>71</v>
      </c>
      <c r="C179" s="8">
        <v>3473</v>
      </c>
      <c r="D179" s="8">
        <v>5791</v>
      </c>
      <c r="E179">
        <v>2015</v>
      </c>
      <c r="F179" t="s">
        <v>45</v>
      </c>
    </row>
    <row r="180" spans="2:6">
      <c r="B180" s="7" t="s">
        <v>51</v>
      </c>
      <c r="C180" s="8">
        <v>3997</v>
      </c>
      <c r="D180" s="8">
        <v>8694</v>
      </c>
      <c r="E180">
        <v>2015</v>
      </c>
      <c r="F180" t="s">
        <v>45</v>
      </c>
    </row>
    <row r="181" spans="2:6">
      <c r="B181" s="7" t="s">
        <v>65</v>
      </c>
      <c r="C181" s="8">
        <v>4602</v>
      </c>
      <c r="D181" s="8">
        <v>8219</v>
      </c>
      <c r="E181">
        <v>2015</v>
      </c>
      <c r="F181" t="s">
        <v>45</v>
      </c>
    </row>
    <row r="182" spans="2:6">
      <c r="B182" s="7" t="s">
        <v>59</v>
      </c>
      <c r="C182" s="8">
        <v>4804</v>
      </c>
      <c r="D182" s="8">
        <v>10772</v>
      </c>
      <c r="E182">
        <v>2015</v>
      </c>
      <c r="F182" t="s">
        <v>45</v>
      </c>
    </row>
    <row r="183" spans="2:6">
      <c r="B183" s="7" t="s">
        <v>64</v>
      </c>
      <c r="C183" s="8">
        <v>4958</v>
      </c>
      <c r="D183" s="8">
        <v>8743</v>
      </c>
      <c r="E183">
        <v>2015</v>
      </c>
      <c r="F183" t="s">
        <v>45</v>
      </c>
    </row>
    <row r="184" spans="2:6">
      <c r="B184" s="7" t="s">
        <v>53</v>
      </c>
      <c r="C184" s="8">
        <v>5588</v>
      </c>
      <c r="D184" s="8">
        <v>11389</v>
      </c>
      <c r="E184">
        <v>2015</v>
      </c>
      <c r="F184" t="s">
        <v>45</v>
      </c>
    </row>
    <row r="185" spans="2:6">
      <c r="B185" s="7" t="s">
        <v>70</v>
      </c>
      <c r="C185" s="8">
        <v>5296</v>
      </c>
      <c r="D185" s="8">
        <v>16915</v>
      </c>
      <c r="E185">
        <v>2015</v>
      </c>
      <c r="F185" t="s">
        <v>45</v>
      </c>
    </row>
    <row r="186" spans="2:6">
      <c r="B186" s="7" t="s">
        <v>58</v>
      </c>
      <c r="C186" s="8">
        <v>5549</v>
      </c>
      <c r="D186" s="8">
        <v>12328</v>
      </c>
      <c r="E186">
        <v>2015</v>
      </c>
      <c r="F186" t="s">
        <v>45</v>
      </c>
    </row>
    <row r="187" spans="2:6">
      <c r="B187" s="7" t="s">
        <v>67</v>
      </c>
      <c r="C187" s="8">
        <v>5600</v>
      </c>
      <c r="D187" s="8">
        <v>9894</v>
      </c>
      <c r="E187">
        <v>2015</v>
      </c>
      <c r="F187" t="s">
        <v>45</v>
      </c>
    </row>
    <row r="188" spans="2:6">
      <c r="B188" s="7" t="s">
        <v>68</v>
      </c>
      <c r="C188" s="8">
        <v>6333</v>
      </c>
      <c r="D188" s="8">
        <v>14843</v>
      </c>
      <c r="E188">
        <v>2015</v>
      </c>
      <c r="F188" t="s">
        <v>45</v>
      </c>
    </row>
    <row r="189" spans="2:6">
      <c r="B189" s="7" t="s">
        <v>60</v>
      </c>
      <c r="C189" s="8">
        <v>7203</v>
      </c>
      <c r="D189" s="8">
        <v>13269</v>
      </c>
      <c r="E189">
        <v>2015</v>
      </c>
      <c r="F189" t="s">
        <v>45</v>
      </c>
    </row>
    <row r="190" spans="2:6">
      <c r="B190" s="7" t="s">
        <v>52</v>
      </c>
      <c r="C190" s="8">
        <v>7815</v>
      </c>
      <c r="D190" s="8">
        <v>20075</v>
      </c>
      <c r="E190">
        <v>2015</v>
      </c>
      <c r="F190" t="s">
        <v>45</v>
      </c>
    </row>
    <row r="191" spans="2:6">
      <c r="B191" s="7" t="s">
        <v>69</v>
      </c>
      <c r="C191" s="8">
        <v>8095</v>
      </c>
      <c r="D191" s="8">
        <v>15488</v>
      </c>
      <c r="E191">
        <v>2015</v>
      </c>
      <c r="F191" t="s">
        <v>45</v>
      </c>
    </row>
    <row r="192" spans="2:6">
      <c r="B192" s="7" t="s">
        <v>61</v>
      </c>
      <c r="C192" s="8">
        <v>8870</v>
      </c>
      <c r="D192" s="8">
        <v>22790</v>
      </c>
      <c r="E192">
        <v>2015</v>
      </c>
      <c r="F192" t="s">
        <v>45</v>
      </c>
    </row>
    <row r="193" spans="2:6">
      <c r="B193" s="7" t="s">
        <v>55</v>
      </c>
      <c r="C193" s="8">
        <v>10584</v>
      </c>
      <c r="D193" s="8">
        <v>18049</v>
      </c>
      <c r="E193">
        <v>2015</v>
      </c>
      <c r="F193" t="s">
        <v>45</v>
      </c>
    </row>
    <row r="194" spans="2:6">
      <c r="B194" s="7" t="s">
        <v>62</v>
      </c>
      <c r="C194" s="8">
        <v>11028</v>
      </c>
      <c r="D194" s="8">
        <v>22988</v>
      </c>
      <c r="E194">
        <v>2015</v>
      </c>
      <c r="F194" t="s">
        <v>45</v>
      </c>
    </row>
    <row r="195" spans="2:6">
      <c r="B195" s="7" t="s">
        <v>63</v>
      </c>
      <c r="C195" s="8">
        <v>11166</v>
      </c>
      <c r="D195" s="8">
        <v>35354</v>
      </c>
      <c r="E195">
        <v>2015</v>
      </c>
      <c r="F195" t="s">
        <v>45</v>
      </c>
    </row>
    <row r="196" spans="2:6">
      <c r="B196" s="7" t="s">
        <v>57</v>
      </c>
      <c r="C196" s="8">
        <v>13047</v>
      </c>
      <c r="D196" s="8">
        <v>35622</v>
      </c>
      <c r="E196">
        <v>2015</v>
      </c>
      <c r="F196" t="s">
        <v>45</v>
      </c>
    </row>
    <row r="197" spans="2:6">
      <c r="B197" s="7" t="s">
        <v>50</v>
      </c>
      <c r="C197" s="8">
        <v>13381</v>
      </c>
      <c r="D197" s="8">
        <v>36899</v>
      </c>
      <c r="E197">
        <v>2015</v>
      </c>
      <c r="F197" t="s">
        <v>45</v>
      </c>
    </row>
    <row r="198" spans="2:6">
      <c r="B198" s="7" t="s">
        <v>66</v>
      </c>
      <c r="C198" s="8">
        <v>14346</v>
      </c>
      <c r="D198" s="8">
        <v>30012</v>
      </c>
      <c r="E198">
        <v>2015</v>
      </c>
      <c r="F198" t="s">
        <v>45</v>
      </c>
    </row>
    <row r="199" spans="2:6">
      <c r="B199" s="7" t="s">
        <v>56</v>
      </c>
      <c r="C199" s="8">
        <v>46068</v>
      </c>
      <c r="D199" s="8">
        <v>66052</v>
      </c>
      <c r="E199">
        <v>2015</v>
      </c>
      <c r="F199" t="s">
        <v>45</v>
      </c>
    </row>
    <row r="200" spans="2:6">
      <c r="B200" s="7" t="s">
        <v>54</v>
      </c>
      <c r="C200" s="8">
        <v>2713</v>
      </c>
      <c r="D200" s="8">
        <v>4213</v>
      </c>
      <c r="E200">
        <v>2016</v>
      </c>
      <c r="F200" t="s">
        <v>45</v>
      </c>
    </row>
    <row r="201" spans="2:6">
      <c r="B201" s="7" t="s">
        <v>71</v>
      </c>
      <c r="C201" s="8">
        <v>3469</v>
      </c>
      <c r="D201" s="8">
        <v>5842</v>
      </c>
      <c r="E201">
        <v>2016</v>
      </c>
      <c r="F201" t="s">
        <v>45</v>
      </c>
    </row>
    <row r="202" spans="2:6">
      <c r="B202" s="7" t="s">
        <v>51</v>
      </c>
      <c r="C202" s="8">
        <v>3987</v>
      </c>
      <c r="D202" s="8">
        <v>8843</v>
      </c>
      <c r="E202">
        <v>2016</v>
      </c>
      <c r="F202" t="s">
        <v>45</v>
      </c>
    </row>
    <row r="203" spans="2:6">
      <c r="B203" s="7" t="s">
        <v>65</v>
      </c>
      <c r="C203" s="8">
        <v>4586</v>
      </c>
      <c r="D203" s="8">
        <v>8261</v>
      </c>
      <c r="E203">
        <v>2016</v>
      </c>
      <c r="F203" t="s">
        <v>45</v>
      </c>
    </row>
    <row r="204" spans="2:6">
      <c r="B204" s="7" t="s">
        <v>59</v>
      </c>
      <c r="C204" s="8">
        <v>4560</v>
      </c>
      <c r="D204" s="8">
        <v>10905</v>
      </c>
      <c r="E204">
        <v>2016</v>
      </c>
      <c r="F204" t="s">
        <v>45</v>
      </c>
    </row>
    <row r="205" spans="2:6">
      <c r="B205" s="7" t="s">
        <v>64</v>
      </c>
      <c r="C205" s="8">
        <v>5033</v>
      </c>
      <c r="D205" s="8">
        <v>8848</v>
      </c>
      <c r="E205">
        <v>2016</v>
      </c>
      <c r="F205" t="s">
        <v>45</v>
      </c>
    </row>
    <row r="206" spans="2:6">
      <c r="B206" s="7" t="s">
        <v>53</v>
      </c>
      <c r="C206" s="8">
        <v>5356</v>
      </c>
      <c r="D206" s="8">
        <v>11482</v>
      </c>
      <c r="E206">
        <v>2016</v>
      </c>
      <c r="F206" t="s">
        <v>45</v>
      </c>
    </row>
    <row r="207" spans="2:6">
      <c r="B207" s="7" t="s">
        <v>70</v>
      </c>
      <c r="C207" s="8">
        <v>5502</v>
      </c>
      <c r="D207" s="8">
        <v>17029</v>
      </c>
      <c r="E207">
        <v>2016</v>
      </c>
      <c r="F207" t="s">
        <v>45</v>
      </c>
    </row>
    <row r="208" spans="2:6">
      <c r="B208" s="7" t="s">
        <v>58</v>
      </c>
      <c r="C208" s="8">
        <v>5558</v>
      </c>
      <c r="D208" s="8">
        <v>12497</v>
      </c>
      <c r="E208">
        <v>2016</v>
      </c>
      <c r="F208" t="s">
        <v>45</v>
      </c>
    </row>
    <row r="209" spans="2:6">
      <c r="B209" s="7" t="s">
        <v>67</v>
      </c>
      <c r="C209" s="8">
        <v>5360</v>
      </c>
      <c r="D209" s="8">
        <v>9996</v>
      </c>
      <c r="E209">
        <v>2016</v>
      </c>
      <c r="F209" t="s">
        <v>45</v>
      </c>
    </row>
    <row r="210" spans="2:6">
      <c r="B210" s="7" t="s">
        <v>68</v>
      </c>
      <c r="C210" s="8">
        <v>6210</v>
      </c>
      <c r="D210" s="8">
        <v>14942</v>
      </c>
      <c r="E210">
        <v>2016</v>
      </c>
      <c r="F210" t="s">
        <v>45</v>
      </c>
    </row>
    <row r="211" spans="2:6">
      <c r="B211" s="7" t="s">
        <v>60</v>
      </c>
      <c r="C211" s="8">
        <v>7173</v>
      </c>
      <c r="D211" s="8">
        <v>13329</v>
      </c>
      <c r="E211">
        <v>2016</v>
      </c>
      <c r="F211" t="s">
        <v>45</v>
      </c>
    </row>
    <row r="212" spans="2:6">
      <c r="B212" s="7" t="s">
        <v>52</v>
      </c>
      <c r="C212" s="8">
        <v>7901</v>
      </c>
      <c r="D212" s="8">
        <v>20310</v>
      </c>
      <c r="E212">
        <v>2016</v>
      </c>
      <c r="F212" t="s">
        <v>45</v>
      </c>
    </row>
    <row r="213" spans="2:6">
      <c r="B213" s="7" t="s">
        <v>69</v>
      </c>
      <c r="C213" s="8">
        <v>7881</v>
      </c>
      <c r="D213" s="8">
        <v>15703</v>
      </c>
      <c r="E213">
        <v>2016</v>
      </c>
      <c r="F213" t="s">
        <v>45</v>
      </c>
    </row>
    <row r="214" spans="2:6">
      <c r="B214" s="7" t="s">
        <v>61</v>
      </c>
      <c r="C214" s="8">
        <v>8779</v>
      </c>
      <c r="D214" s="8">
        <v>23228</v>
      </c>
      <c r="E214">
        <v>2016</v>
      </c>
      <c r="F214" t="s">
        <v>45</v>
      </c>
    </row>
    <row r="215" spans="2:6">
      <c r="B215" s="7" t="s">
        <v>55</v>
      </c>
      <c r="C215" s="8">
        <v>10410</v>
      </c>
      <c r="D215" s="8">
        <v>18213</v>
      </c>
      <c r="E215">
        <v>2016</v>
      </c>
      <c r="F215" t="s">
        <v>45</v>
      </c>
    </row>
    <row r="216" spans="2:6">
      <c r="B216" s="7" t="s">
        <v>62</v>
      </c>
      <c r="C216" s="8">
        <v>11141</v>
      </c>
      <c r="D216" s="8">
        <v>23144</v>
      </c>
      <c r="E216">
        <v>2016</v>
      </c>
      <c r="F216" t="s">
        <v>45</v>
      </c>
    </row>
    <row r="217" spans="2:6">
      <c r="B217" s="7" t="s">
        <v>63</v>
      </c>
      <c r="C217" s="8">
        <v>10890</v>
      </c>
      <c r="D217" s="8">
        <v>35990</v>
      </c>
      <c r="E217">
        <v>2016</v>
      </c>
      <c r="F217" t="s">
        <v>45</v>
      </c>
    </row>
    <row r="218" spans="2:6">
      <c r="B218" s="7" t="s">
        <v>57</v>
      </c>
      <c r="C218" s="8">
        <v>13163</v>
      </c>
      <c r="D218" s="8">
        <v>35715</v>
      </c>
      <c r="E218">
        <v>2016</v>
      </c>
      <c r="F218" t="s">
        <v>45</v>
      </c>
    </row>
    <row r="219" spans="2:6">
      <c r="B219" s="7" t="s">
        <v>50</v>
      </c>
      <c r="C219" s="8">
        <v>12920</v>
      </c>
      <c r="D219" s="8">
        <v>37644</v>
      </c>
      <c r="E219">
        <v>2016</v>
      </c>
      <c r="F219" t="s">
        <v>45</v>
      </c>
    </row>
    <row r="220" spans="2:6">
      <c r="B220" s="7" t="s">
        <v>66</v>
      </c>
      <c r="C220" s="8">
        <v>14406</v>
      </c>
      <c r="D220" s="8">
        <v>30323</v>
      </c>
      <c r="E220">
        <v>2016</v>
      </c>
      <c r="F220" t="s">
        <v>45</v>
      </c>
    </row>
    <row r="221" spans="2:6">
      <c r="B221" s="7" t="s">
        <v>56</v>
      </c>
      <c r="C221" s="8">
        <v>45456</v>
      </c>
      <c r="D221" s="8">
        <v>65716</v>
      </c>
      <c r="E221">
        <v>2016</v>
      </c>
      <c r="F221" t="s">
        <v>45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V35"/>
  <sheetViews>
    <sheetView workbookViewId="0">
      <selection activeCell="V25" sqref="V25"/>
    </sheetView>
  </sheetViews>
  <sheetFormatPr defaultColWidth="9" defaultRowHeight="15"/>
  <cols>
    <col min="15" max="15" width="18.4285714285714" customWidth="1"/>
    <col min="16" max="16" width="16.7142857142857" customWidth="1"/>
    <col min="17" max="18" width="15.7142857142857" customWidth="1"/>
    <col min="19" max="19" width="16.7142857142857" customWidth="1"/>
    <col min="20" max="20" width="15.7142857142857" customWidth="1"/>
    <col min="21" max="21" width="11.2857142857143" customWidth="1"/>
    <col min="22" max="22" width="14.7142857142857" customWidth="1"/>
  </cols>
  <sheetData>
    <row r="2" spans="4:8">
      <c r="D2" t="s">
        <v>107</v>
      </c>
      <c r="E2" t="s">
        <v>108</v>
      </c>
      <c r="G2" t="s">
        <v>107</v>
      </c>
      <c r="H2" t="s">
        <v>108</v>
      </c>
    </row>
    <row r="3" spans="4:8">
      <c r="D3">
        <v>1</v>
      </c>
      <c r="E3">
        <v>76</v>
      </c>
      <c r="G3">
        <v>100</v>
      </c>
      <c r="H3" s="1">
        <v>100</v>
      </c>
    </row>
    <row r="4" spans="4:8">
      <c r="D4">
        <v>2</v>
      </c>
      <c r="E4">
        <v>94</v>
      </c>
      <c r="G4">
        <f>100*D4/$D$3</f>
        <v>200</v>
      </c>
      <c r="H4" s="1">
        <f>100*E4/$E$3</f>
        <v>123.684210526316</v>
      </c>
    </row>
    <row r="5" spans="4:8">
      <c r="D5">
        <v>3</v>
      </c>
      <c r="E5">
        <v>77</v>
      </c>
      <c r="G5">
        <f t="shared" ref="G5:G12" si="0">100*D5/$D$3</f>
        <v>300</v>
      </c>
      <c r="H5" s="1">
        <f t="shared" ref="H5:H12" si="1">100*E5/$E$3</f>
        <v>101.315789473684</v>
      </c>
    </row>
    <row r="6" spans="4:8">
      <c r="D6">
        <v>4</v>
      </c>
      <c r="E6">
        <v>79</v>
      </c>
      <c r="G6">
        <f t="shared" si="0"/>
        <v>400</v>
      </c>
      <c r="H6" s="1">
        <f t="shared" si="1"/>
        <v>103.947368421053</v>
      </c>
    </row>
    <row r="7" spans="4:8">
      <c r="D7">
        <v>5</v>
      </c>
      <c r="E7">
        <v>65</v>
      </c>
      <c r="G7">
        <f t="shared" si="0"/>
        <v>500</v>
      </c>
      <c r="H7" s="1">
        <f t="shared" si="1"/>
        <v>85.5263157894737</v>
      </c>
    </row>
    <row r="8" spans="4:8">
      <c r="D8">
        <v>6</v>
      </c>
      <c r="E8">
        <v>50</v>
      </c>
      <c r="G8">
        <f t="shared" si="0"/>
        <v>600</v>
      </c>
      <c r="H8" s="1">
        <f t="shared" si="1"/>
        <v>65.7894736842105</v>
      </c>
    </row>
    <row r="9" spans="4:8">
      <c r="D9">
        <v>7</v>
      </c>
      <c r="E9">
        <v>90</v>
      </c>
      <c r="G9">
        <f t="shared" si="0"/>
        <v>700</v>
      </c>
      <c r="H9" s="1">
        <f t="shared" si="1"/>
        <v>118.421052631579</v>
      </c>
    </row>
    <row r="10" spans="4:8">
      <c r="D10">
        <v>8</v>
      </c>
      <c r="E10">
        <v>96</v>
      </c>
      <c r="G10">
        <f t="shared" si="0"/>
        <v>800</v>
      </c>
      <c r="H10" s="1">
        <f t="shared" si="1"/>
        <v>126.315789473684</v>
      </c>
    </row>
    <row r="11" spans="4:8">
      <c r="D11">
        <v>9</v>
      </c>
      <c r="E11">
        <v>94</v>
      </c>
      <c r="G11">
        <f t="shared" si="0"/>
        <v>900</v>
      </c>
      <c r="H11" s="1">
        <f t="shared" si="1"/>
        <v>123.684210526316</v>
      </c>
    </row>
    <row r="12" spans="4:8">
      <c r="D12">
        <v>10</v>
      </c>
      <c r="E12">
        <v>75</v>
      </c>
      <c r="G12">
        <f t="shared" si="0"/>
        <v>1000</v>
      </c>
      <c r="H12" s="1">
        <f t="shared" si="1"/>
        <v>98.6842105263158</v>
      </c>
    </row>
    <row r="28" spans="14:22">
      <c r="N28" s="2" t="s">
        <v>109</v>
      </c>
      <c r="O28" s="3" t="s">
        <v>110</v>
      </c>
      <c r="P28" s="3" t="s">
        <v>111</v>
      </c>
      <c r="Q28" s="3" t="s">
        <v>112</v>
      </c>
      <c r="R28" s="3" t="s">
        <v>113</v>
      </c>
      <c r="S28" s="3" t="s">
        <v>110</v>
      </c>
      <c r="T28" s="3" t="s">
        <v>111</v>
      </c>
      <c r="U28" s="3" t="s">
        <v>112</v>
      </c>
      <c r="V28" s="3" t="s">
        <v>113</v>
      </c>
    </row>
    <row r="29" spans="14:22">
      <c r="N29" s="2">
        <v>2011</v>
      </c>
      <c r="O29" s="4">
        <v>961169873.050002</v>
      </c>
      <c r="P29" s="4">
        <v>33450615.71</v>
      </c>
      <c r="Q29" s="4"/>
      <c r="R29" s="4">
        <v>5310716.09</v>
      </c>
      <c r="S29">
        <v>100</v>
      </c>
      <c r="T29">
        <v>100</v>
      </c>
      <c r="U29">
        <v>100</v>
      </c>
      <c r="V29">
        <v>100</v>
      </c>
    </row>
    <row r="30" spans="14:22">
      <c r="N30" s="2">
        <v>2012</v>
      </c>
      <c r="O30" s="4">
        <v>989096650.200001</v>
      </c>
      <c r="P30" s="4">
        <v>36263452.1900001</v>
      </c>
      <c r="Q30" s="4"/>
      <c r="R30" s="4">
        <v>5984017.55</v>
      </c>
      <c r="S30">
        <f>100*(O30/$O$29)</f>
        <v>102.905498594268</v>
      </c>
      <c r="T30">
        <f>100*(P30/$P$29)</f>
        <v>108.408922886161</v>
      </c>
      <c r="U30">
        <v>0</v>
      </c>
      <c r="V30">
        <f t="shared" ref="U30:V35" si="2">100*(R30/R29)</f>
        <v>112.678167098178</v>
      </c>
    </row>
    <row r="31" spans="14:22">
      <c r="N31" s="2">
        <v>2013</v>
      </c>
      <c r="O31" s="4">
        <v>1089064098.6</v>
      </c>
      <c r="P31" s="4">
        <v>19139304.15</v>
      </c>
      <c r="Q31" s="4">
        <v>22631190</v>
      </c>
      <c r="R31" s="4">
        <v>5411229.16</v>
      </c>
      <c r="S31">
        <f t="shared" ref="S31:S35" si="3">100*(O31/$O$29)</f>
        <v>113.30610011154</v>
      </c>
      <c r="T31">
        <f t="shared" ref="T31:T35" si="4">100*(P31/$P$29)</f>
        <v>57.2165974938343</v>
      </c>
      <c r="U31">
        <v>0</v>
      </c>
      <c r="V31">
        <f t="shared" si="2"/>
        <v>90.4280295768851</v>
      </c>
    </row>
    <row r="32" spans="14:22">
      <c r="N32" s="2">
        <v>2014</v>
      </c>
      <c r="O32" s="4">
        <v>1264833887.12</v>
      </c>
      <c r="P32" s="4">
        <v>36443254.9599999</v>
      </c>
      <c r="Q32" s="4">
        <v>4716255</v>
      </c>
      <c r="R32" s="4">
        <v>9592010.03</v>
      </c>
      <c r="S32">
        <f t="shared" si="3"/>
        <v>131.593168136492</v>
      </c>
      <c r="T32">
        <f t="shared" si="4"/>
        <v>108.946439957771</v>
      </c>
      <c r="U32">
        <f>100*(Q32/$Q$31)</f>
        <v>20.8396244298245</v>
      </c>
      <c r="V32">
        <f t="shared" si="2"/>
        <v>177.261205289632</v>
      </c>
    </row>
    <row r="33" spans="14:22">
      <c r="N33" s="2">
        <v>2015</v>
      </c>
      <c r="O33" s="4">
        <v>1480421749.1</v>
      </c>
      <c r="P33" s="4">
        <v>14287621.26</v>
      </c>
      <c r="Q33" s="4">
        <v>20592250</v>
      </c>
      <c r="R33" s="4">
        <v>5963392.08000001</v>
      </c>
      <c r="S33">
        <f t="shared" si="3"/>
        <v>154.022903818479</v>
      </c>
      <c r="T33">
        <f t="shared" si="4"/>
        <v>42.7125807903403</v>
      </c>
      <c r="U33">
        <f t="shared" ref="U33:U34" si="5">100*(Q33/$Q$31)</f>
        <v>90.9905753961679</v>
      </c>
      <c r="V33">
        <f t="shared" si="2"/>
        <v>62.17041122089</v>
      </c>
    </row>
    <row r="34" spans="14:22">
      <c r="N34" s="2">
        <v>2016</v>
      </c>
      <c r="O34" s="4">
        <v>1533344719.6</v>
      </c>
      <c r="P34" s="4">
        <v>3323674.59</v>
      </c>
      <c r="Q34" s="4">
        <v>31521175</v>
      </c>
      <c r="R34" s="4">
        <v>4793835</v>
      </c>
      <c r="S34">
        <f t="shared" si="3"/>
        <v>159.529003414803</v>
      </c>
      <c r="T34">
        <f t="shared" si="4"/>
        <v>9.93606401393203</v>
      </c>
      <c r="U34">
        <f t="shared" si="5"/>
        <v>139.282004172118</v>
      </c>
      <c r="V34">
        <f t="shared" si="2"/>
        <v>80.3877212111801</v>
      </c>
    </row>
    <row r="35" spans="15:22">
      <c r="O35" s="5">
        <f>SUM(O29:O34)</f>
        <v>7317930977.67</v>
      </c>
      <c r="P35" s="5">
        <f t="shared" ref="P35:R35" si="6">SUM(P29:P34)</f>
        <v>142907922.86</v>
      </c>
      <c r="Q35" s="5">
        <f t="shared" si="6"/>
        <v>79460870</v>
      </c>
      <c r="R35" s="5">
        <f t="shared" si="6"/>
        <v>37055199.91</v>
      </c>
      <c r="S35">
        <f t="shared" si="3"/>
        <v>761.356674075583</v>
      </c>
      <c r="T35">
        <f t="shared" si="4"/>
        <v>427.220605142039</v>
      </c>
      <c r="U35">
        <f t="shared" si="2"/>
        <v>252.087271492893</v>
      </c>
      <c r="V35">
        <f t="shared" si="2"/>
        <v>772.976122665882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Ficha</vt:lpstr>
      <vt:lpstr>Numerador</vt:lpstr>
      <vt:lpstr>Sheet2</vt:lpstr>
      <vt:lpstr>Denominador</vt:lpstr>
      <vt:lpstr>Presupuesto</vt:lpstr>
      <vt:lpstr>Tablas</vt:lpstr>
      <vt:lpstr>Graficas</vt:lpstr>
      <vt:lpstr>Metadata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Mayté Milián</dc:creator>
  <cp:lastModifiedBy>Camilo</cp:lastModifiedBy>
  <dcterms:created xsi:type="dcterms:W3CDTF">2017-10-12T17:04:00Z</dcterms:created>
  <cp:lastPrinted>2017-10-26T17:15:00Z</cp:lastPrinted>
  <dcterms:modified xsi:type="dcterms:W3CDTF">2017-12-15T23:48:23Z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2058-10.2.0.5965</vt:lpwstr>
  </property>
</Properties>
</file>