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8"/>
  </bookViews>
  <sheets>
    <sheet name="Ficha" sheetId="1" r:id="rId1"/>
    <sheet name="Numerador" sheetId="2" r:id="rId2"/>
    <sheet name="Denominador" sheetId="5" r:id="rId3"/>
    <sheet name="Presupuesto" sheetId="6" r:id="rId4"/>
    <sheet name="METADATA" sheetId="7" r:id="rId5"/>
    <sheet name="Tablas" sheetId="3" r:id="rId6"/>
    <sheet name="Graficas" sheetId="4" r:id="rId7"/>
    <sheet name="M_DATA" sheetId="8" r:id="rId8"/>
    <sheet name="M_DATA (1)" sheetId="9" r:id="rId9"/>
  </sheets>
  <externalReferences>
    <externalReference r:id="rId12"/>
  </externalReferences>
  <calcPr calcId="144525"/>
  <pivotCaches>
    <pivotCache cacheId="0" r:id="rId10"/>
    <pivotCache cacheId="1" r:id="rId11"/>
  </pivotCaches>
</workbook>
</file>

<file path=xl/sharedStrings.xml><?xml version="1.0" encoding="utf-8"?>
<sst xmlns="http://schemas.openxmlformats.org/spreadsheetml/2006/main" count="100">
  <si>
    <t>NOMBRE DEL INDICADOR</t>
  </si>
  <si>
    <t>IDENTIFICADOR DEL INDICADOR</t>
  </si>
  <si>
    <t>Cobertura de Educación Primaria</t>
  </si>
  <si>
    <t>008-1208</t>
  </si>
  <si>
    <t>Código</t>
  </si>
  <si>
    <t>Entidad Asociada</t>
  </si>
  <si>
    <t>Programa asociado</t>
  </si>
  <si>
    <t>Ministerio de Educación</t>
  </si>
  <si>
    <t>Educación Escolar de primaria</t>
  </si>
  <si>
    <t>Historico</t>
  </si>
  <si>
    <t>N/A</t>
  </si>
  <si>
    <t>Resultado Institucional</t>
  </si>
  <si>
    <t>Para el 2019 se ha incrementado la cobertura de educación primaria en 6  puntos porcentuales (de 82% en 2014 a 88% en 2019)</t>
  </si>
  <si>
    <t>ORIGEN DE LA INVESTIGACIÓN</t>
  </si>
  <si>
    <t>Dirección del OGP.</t>
  </si>
  <si>
    <t>DIMENSIÓN A MEDIR:</t>
  </si>
  <si>
    <t>DEFINICIÓN:</t>
  </si>
  <si>
    <t xml:space="preserve">Porcentaje de cobertura de estudiantes que atiende el MINEDUC en el ciclo  primario </t>
  </si>
  <si>
    <t>Porcentaje de población escolar del nivel primario (7 a 12 años) que es atendido por el sector oficial.</t>
  </si>
  <si>
    <t>MÉTODO DE CALCULO:</t>
  </si>
  <si>
    <t>NUMERADOR</t>
  </si>
  <si>
    <t>Cociente entre el número de estudiantes del nivel de primario, monolingue y bilingüe  dentro de la población total del sector primario.</t>
  </si>
  <si>
    <t xml:space="preserve">Estudiantes de nivel primaria monolingue y bilingüe </t>
  </si>
  <si>
    <t>fuente:</t>
  </si>
  <si>
    <t>MINEDUC</t>
  </si>
  <si>
    <t>RESPONSABLE DEL CALCULO</t>
  </si>
  <si>
    <t xml:space="preserve">DENOMINADOR </t>
  </si>
  <si>
    <t>Equipo de analistas del OGP</t>
  </si>
  <si>
    <t>Población total en edad de ciclo primario (7 a 12 años)</t>
  </si>
  <si>
    <t>Unidad de medida:</t>
  </si>
  <si>
    <t>Porcentaje de cobertura</t>
  </si>
  <si>
    <t>INE</t>
  </si>
  <si>
    <t>DESAGREGACIÓN GEOGRÁFICA</t>
  </si>
  <si>
    <t>FRECUENCIA DE LA MEDICIÓN</t>
  </si>
  <si>
    <t>Nacional - Departamental</t>
  </si>
  <si>
    <t>anual</t>
  </si>
  <si>
    <t>ELABORADO POR:</t>
  </si>
  <si>
    <t>FECHA DE ELABORACIÓN</t>
  </si>
  <si>
    <t>FECHA DE PUBLICACIÓN</t>
  </si>
  <si>
    <t>OGP (Ministerio de Finanzas)</t>
  </si>
  <si>
    <t xml:space="preserve">Alumnos inscritos por Departamento, sexo y año </t>
  </si>
  <si>
    <t xml:space="preserve">Fuente: </t>
  </si>
  <si>
    <t>Sexo</t>
  </si>
  <si>
    <t>M</t>
  </si>
  <si>
    <t>Sum of Cantidad</t>
  </si>
  <si>
    <t>Column Labels</t>
  </si>
  <si>
    <t>Row Labels</t>
  </si>
  <si>
    <t>Grand Total</t>
  </si>
  <si>
    <t>Alta Verapaz</t>
  </si>
  <si>
    <t>Baja Verapaz</t>
  </si>
  <si>
    <t>Chimaltenango</t>
  </si>
  <si>
    <t>Chiquimula</t>
  </si>
  <si>
    <t>El Progreso</t>
  </si>
  <si>
    <t>Escuintla</t>
  </si>
  <si>
    <t>Guatemala</t>
  </si>
  <si>
    <t>Huehuetenango</t>
  </si>
  <si>
    <t>Izabal</t>
  </si>
  <si>
    <t>Jalapa</t>
  </si>
  <si>
    <t>Jutiapa</t>
  </si>
  <si>
    <t>Petén</t>
  </si>
  <si>
    <t>Quetzaltenango</t>
  </si>
  <si>
    <t>Quiché</t>
  </si>
  <si>
    <t>Retalhuleu</t>
  </si>
  <si>
    <t>Sacatepéquez</t>
  </si>
  <si>
    <t>San Marcos</t>
  </si>
  <si>
    <t>Santa Rosa</t>
  </si>
  <si>
    <t>Sololá</t>
  </si>
  <si>
    <t>Suchitepéquez</t>
  </si>
  <si>
    <t>Totonicapán</t>
  </si>
  <si>
    <t>Zacapa</t>
  </si>
  <si>
    <t>Proyección de población de niños de 7 a 12 años, por departamento, sexo y año</t>
  </si>
  <si>
    <t>Fuente:</t>
  </si>
  <si>
    <t xml:space="preserve">Devengado al cierre de diciembre </t>
  </si>
  <si>
    <t>Programa 12 Educación Escolar de Primaria</t>
  </si>
  <si>
    <t>Fuente SICOIN</t>
  </si>
  <si>
    <t>Depto</t>
  </si>
  <si>
    <t xml:space="preserve">Alumnos inscritos por año </t>
  </si>
  <si>
    <t>Proyección anual de población</t>
  </si>
  <si>
    <t>Presupuesto Prg 12 (devengado)</t>
  </si>
  <si>
    <t>Departamento</t>
  </si>
  <si>
    <t>Tipo</t>
  </si>
  <si>
    <t>Inscritos</t>
  </si>
  <si>
    <t>Población</t>
  </si>
  <si>
    <t>Año</t>
  </si>
  <si>
    <t>Presupuesto</t>
  </si>
  <si>
    <t>Alumnos inscritos por Departamento, sexo y año según MINEDUC</t>
  </si>
  <si>
    <t>Proyección de población de niños de 7 a 12 años según el INE, por departamento, sexo y año</t>
  </si>
  <si>
    <t>Numerador</t>
  </si>
  <si>
    <t>Denominador</t>
  </si>
  <si>
    <t>Tasa de Cobertura a nivel primario</t>
  </si>
  <si>
    <t>Resumen</t>
  </si>
  <si>
    <t>Alumnos inscritos</t>
  </si>
  <si>
    <t>Proyección de población</t>
  </si>
  <si>
    <t>% de cobertura</t>
  </si>
  <si>
    <t xml:space="preserve">Devengado </t>
  </si>
  <si>
    <t>Per Capita</t>
  </si>
  <si>
    <t>F</t>
  </si>
  <si>
    <t>NA</t>
  </si>
  <si>
    <t>poblacion</t>
  </si>
  <si>
    <t>anio</t>
  </si>
</sst>
</file>

<file path=xl/styles.xml><?xml version="1.0" encoding="utf-8"?>
<styleSheet xmlns="http://schemas.openxmlformats.org/spreadsheetml/2006/main">
  <numFmts count="7">
    <numFmt numFmtId="176" formatCode="_-[$Q-100A]* #,##0.00_-;\-[$Q-100A]* #,##0.00_-;_-[$Q-100A]* &quot;-&quot;??_-;_-@_-"/>
    <numFmt numFmtId="177" formatCode="_-* #,##0_-;\-* #,##0_-;_-* &quot;-&quot;??_-;_-@_-"/>
    <numFmt numFmtId="42" formatCode="_(&quot;$&quot;* #,##0_);_(&quot;$&quot;* \(#,##0\);_(&quot;$&quot;* &quot;-&quot;_);_(@_)"/>
    <numFmt numFmtId="178" formatCode="_-* #,##0.00_-;\-* #,##0.00_-;_-* &quot;-&quot;??_-;_-@_-"/>
    <numFmt numFmtId="44" formatCode="_(&quot;$&quot;* #,##0.00_);_(&quot;$&quot;* \(#,##0.00\);_(&quot;$&quot;* &quot;-&quot;??_);_(@_)"/>
    <numFmt numFmtId="179" formatCode="_ * #,##0_ ;_ * \-#,##0_ ;_ * &quot;-&quot;_ ;_ @_ "/>
    <numFmt numFmtId="180" formatCode="0.0%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6"/>
      <color theme="4" tint="-0.249977111117893"/>
      <name val="Calibri"/>
      <charset val="134"/>
      <scheme val="minor"/>
    </font>
    <font>
      <u/>
      <sz val="18"/>
      <color theme="4" tint="-0.24997711111789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theme="4" tint="0.79998168889431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theme="4" tint="0.399975585192419"/>
      </bottom>
      <diagonal/>
    </border>
    <border>
      <left/>
      <right/>
      <top style="thin">
        <color theme="4" tint="0.399975585192419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theme="4" tint="0.399975585192419"/>
      </bottom>
      <diagonal/>
    </border>
    <border>
      <left style="thin">
        <color auto="1"/>
      </left>
      <right/>
      <top/>
      <bottom style="thin">
        <color theme="4" tint="0.399975585192419"/>
      </bottom>
      <diagonal/>
    </border>
    <border>
      <left/>
      <right style="thin">
        <color auto="1"/>
      </right>
      <top style="thin">
        <color theme="4" tint="0.399975585192419"/>
      </top>
      <bottom/>
      <diagonal/>
    </border>
    <border>
      <left style="thin">
        <color auto="1"/>
      </left>
      <right/>
      <top style="thin">
        <color theme="4" tint="0.399975585192419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0" borderId="21" applyNumberFormat="0" applyFill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1" borderId="25" applyNumberFormat="0" applyAlignment="0" applyProtection="0">
      <alignment vertical="center"/>
    </xf>
    <xf numFmtId="0" fontId="8" fillId="20" borderId="24" applyNumberFormat="0" applyFont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7" borderId="26" applyNumberFormat="0" applyAlignment="0" applyProtection="0">
      <alignment vertical="center"/>
    </xf>
    <xf numFmtId="0" fontId="21" fillId="21" borderId="26" applyNumberFormat="0" applyAlignment="0" applyProtection="0">
      <alignment vertical="center"/>
    </xf>
    <xf numFmtId="0" fontId="14" fillId="14" borderId="22" applyNumberFormat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5" fillId="0" borderId="20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8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3" fontId="0" fillId="0" borderId="1" xfId="0" applyNumberFormat="1" applyBorder="1"/>
    <xf numFmtId="177" fontId="0" fillId="0" borderId="1" xfId="6" applyNumberFormat="1" applyFont="1" applyBorder="1"/>
    <xf numFmtId="3" fontId="0" fillId="3" borderId="1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76" fontId="0" fillId="0" borderId="1" xfId="0" applyNumberFormat="1" applyBorder="1"/>
    <xf numFmtId="0" fontId="0" fillId="0" borderId="2" xfId="0" applyFill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1" fillId="2" borderId="3" xfId="0" applyFont="1" applyFill="1" applyBorder="1"/>
    <xf numFmtId="0" fontId="1" fillId="2" borderId="3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3" fontId="0" fillId="0" borderId="0" xfId="0" applyNumberFormat="1"/>
    <xf numFmtId="0" fontId="1" fillId="2" borderId="4" xfId="0" applyFont="1" applyFill="1" applyBorder="1" applyAlignment="1">
      <alignment horizontal="left"/>
    </xf>
    <xf numFmtId="3" fontId="1" fillId="2" borderId="4" xfId="0" applyNumberFormat="1" applyFont="1" applyFill="1" applyBorder="1"/>
    <xf numFmtId="9" fontId="0" fillId="0" borderId="0" xfId="7" applyFont="1"/>
    <xf numFmtId="180" fontId="1" fillId="2" borderId="4" xfId="7" applyNumberFormat="1" applyFont="1" applyFill="1" applyBorder="1"/>
    <xf numFmtId="0" fontId="1" fillId="2" borderId="3" xfId="0" applyFont="1" applyFill="1" applyBorder="1" applyAlignment="1">
      <alignment horizontal="right"/>
    </xf>
    <xf numFmtId="177" fontId="0" fillId="0" borderId="1" xfId="0" applyNumberFormat="1" applyBorder="1"/>
    <xf numFmtId="180" fontId="0" fillId="0" borderId="1" xfId="0" applyNumberFormat="1" applyBorder="1"/>
    <xf numFmtId="0" fontId="1" fillId="2" borderId="3" xfId="0" applyFont="1" applyFill="1" applyBorder="1" applyAlignment="1">
      <alignment horizontal="center"/>
    </xf>
    <xf numFmtId="177" fontId="0" fillId="0" borderId="0" xfId="6" applyNumberFormat="1" applyFont="1"/>
    <xf numFmtId="177" fontId="1" fillId="2" borderId="4" xfId="6" applyNumberFormat="1" applyFont="1" applyFill="1" applyBorder="1"/>
    <xf numFmtId="9" fontId="0" fillId="0" borderId="0" xfId="0" applyNumberFormat="1"/>
    <xf numFmtId="0" fontId="1" fillId="2" borderId="0" xfId="0" applyFont="1" applyFill="1" applyBorder="1" applyAlignment="1">
      <alignment horizontal="right"/>
    </xf>
    <xf numFmtId="0" fontId="0" fillId="3" borderId="0" xfId="0" applyFill="1" applyBorder="1" applyAlignment="1"/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2" borderId="7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3" fontId="0" fillId="0" borderId="0" xfId="0" applyNumberFormat="1" applyBorder="1"/>
    <xf numFmtId="3" fontId="0" fillId="0" borderId="5" xfId="0" applyNumberFormat="1" applyBorder="1"/>
    <xf numFmtId="177" fontId="0" fillId="0" borderId="6" xfId="6" applyNumberFormat="1" applyFont="1" applyBorder="1"/>
    <xf numFmtId="3" fontId="1" fillId="2" borderId="9" xfId="0" applyNumberFormat="1" applyFont="1" applyFill="1" applyBorder="1"/>
    <xf numFmtId="177" fontId="1" fillId="2" borderId="10" xfId="6" applyNumberFormat="1" applyFont="1" applyFill="1" applyBorder="1"/>
    <xf numFmtId="0" fontId="1" fillId="2" borderId="7" xfId="0" applyFont="1" applyFill="1" applyBorder="1" applyAlignment="1">
      <alignment horizontal="center"/>
    </xf>
    <xf numFmtId="177" fontId="0" fillId="0" borderId="0" xfId="6" applyNumberFormat="1" applyFont="1" applyBorder="1"/>
    <xf numFmtId="177" fontId="0" fillId="0" borderId="5" xfId="6" applyNumberFormat="1" applyFont="1" applyBorder="1"/>
    <xf numFmtId="176" fontId="0" fillId="0" borderId="0" xfId="0" applyNumberFormat="1"/>
    <xf numFmtId="177" fontId="1" fillId="2" borderId="9" xfId="6" applyNumberFormat="1" applyFont="1" applyFill="1" applyBorder="1"/>
    <xf numFmtId="176" fontId="1" fillId="2" borderId="4" xfId="0" applyNumberFormat="1" applyFont="1" applyFill="1" applyBorder="1"/>
    <xf numFmtId="0" fontId="0" fillId="3" borderId="0" xfId="0" applyFill="1" applyAlignment="1"/>
    <xf numFmtId="0" fontId="0" fillId="3" borderId="0" xfId="0" applyFill="1" applyBorder="1"/>
    <xf numFmtId="0" fontId="1" fillId="5" borderId="0" xfId="0" applyFont="1" applyFill="1" applyBorder="1" applyAlignment="1">
      <alignment horizontal="right" vertical="center"/>
    </xf>
    <xf numFmtId="177" fontId="0" fillId="3" borderId="0" xfId="6" applyNumberFormat="1" applyFont="1" applyFill="1" applyBorder="1"/>
    <xf numFmtId="0" fontId="3" fillId="0" borderId="0" xfId="0" applyFont="1"/>
    <xf numFmtId="177" fontId="0" fillId="0" borderId="0" xfId="0" applyNumberFormat="1"/>
    <xf numFmtId="0" fontId="0" fillId="0" borderId="0" xfId="0" applyFont="1"/>
    <xf numFmtId="0" fontId="0" fillId="4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lef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4" borderId="0" xfId="0" applyFont="1" applyFill="1" applyBorder="1" applyAlignment="1"/>
    <xf numFmtId="0" fontId="0" fillId="4" borderId="14" xfId="0" applyFont="1" applyFill="1" applyBorder="1" applyAlignment="1">
      <alignment horizontal="center"/>
    </xf>
    <xf numFmtId="0" fontId="0" fillId="0" borderId="11" xfId="0" applyFont="1" applyBorder="1" applyAlignment="1"/>
    <xf numFmtId="0" fontId="0" fillId="0" borderId="1" xfId="0" applyFont="1" applyBorder="1" applyAlignment="1"/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/>
    <xf numFmtId="0" fontId="0" fillId="0" borderId="11" xfId="0" applyFont="1" applyBorder="1" applyAlignment="1" quotePrefix="1">
      <alignment horizont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dxfs count="9">
    <dxf>
      <numFmt numFmtId="4" formatCode="#,##0.00"/>
    </dxf>
    <dxf>
      <numFmt numFmtId="181" formatCode="#,##0.0"/>
    </dxf>
    <dxf>
      <numFmt numFmtId="3" formatCode="#,##0"/>
    </dxf>
    <dxf>
      <numFmt numFmtId="178" formatCode="_-* #,##0.00_-;\-* #,##0.00_-;_-* &quot;-&quot;??_-;_-@_-"/>
    </dxf>
    <dxf>
      <numFmt numFmtId="182" formatCode="_-* #,##0.000_-;\-* #,##0.000_-;_-* &quot;-&quot;??_-;_-@_-"/>
    </dxf>
    <dxf>
      <numFmt numFmtId="178" formatCode="_-* #,##0.00_-;\-* #,##0.00_-;_-* &quot;-&quot;??_-;_-@_-"/>
    </dxf>
    <dxf>
      <numFmt numFmtId="183" formatCode="_-* #,##0.0_-;\-* #,##0.0_-;_-* &quot;-&quot;??_-;_-@_-"/>
    </dxf>
    <dxf>
      <numFmt numFmtId="177" formatCode="_-* #,##0_-;\-* #,##0_-;_-* &quot;-&quot;??_-;_-@_-"/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externalLink" Target="externalLinks/externalLink1.xml"/><Relationship Id="rId11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MX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Alumnos inscritos en primaria vs proyección de la población en edad escolar de primaria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Tablas!$E$61</c:f>
              <c:strCache>
                <c:ptCount val="1"/>
                <c:pt idx="0">
                  <c:v>Alumnos inscritos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xVal>
            <c:numRef>
              <c:f>Tablas!$D$62:$D$66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xVal>
          <c:yVal>
            <c:numRef>
              <c:f>Tablas!$E$62:$E$66</c:f>
              <c:numCache>
                <c:formatCode>#,##0</c:formatCode>
                <c:ptCount val="5"/>
                <c:pt idx="0">
                  <c:v>1074773</c:v>
                </c:pt>
                <c:pt idx="1">
                  <c:v>1050471</c:v>
                </c:pt>
                <c:pt idx="2">
                  <c:v>1028252</c:v>
                </c:pt>
                <c:pt idx="3">
                  <c:v>1020690</c:v>
                </c:pt>
                <c:pt idx="4">
                  <c:v>1007103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484815"/>
        <c:axId val="205526431"/>
      </c:scatterChart>
      <c:scatterChart>
        <c:scatterStyle val="lineMarker"/>
        <c:varyColors val="0"/>
        <c:ser>
          <c:idx val="1"/>
          <c:order val="1"/>
          <c:tx>
            <c:strRef>
              <c:f>Tablas!$F$61</c:f>
              <c:strCache>
                <c:ptCount val="1"/>
                <c:pt idx="0">
                  <c:v>Proyección de población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xVal>
            <c:numRef>
              <c:f>Tablas!$D$62:$D$66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xVal>
          <c:yVal>
            <c:numRef>
              <c:f>Tablas!$F$62:$F$66</c:f>
              <c:numCache>
                <c:formatCode>_-* #,##0_-;\-* #,##0_-;_-* "-"??_-;_-@_-</c:formatCode>
                <c:ptCount val="5"/>
                <c:pt idx="0">
                  <c:v>1199009</c:v>
                </c:pt>
                <c:pt idx="1">
                  <c:v>1222021</c:v>
                </c:pt>
                <c:pt idx="2">
                  <c:v>1243533</c:v>
                </c:pt>
                <c:pt idx="3">
                  <c:v>1263371</c:v>
                </c:pt>
                <c:pt idx="4">
                  <c:v>1281709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570463"/>
        <c:axId val="395577807"/>
      </c:scatterChart>
      <c:valAx>
        <c:axId val="221484815"/>
        <c:scaling>
          <c:orientation val="minMax"/>
          <c:min val="201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5526431"/>
        <c:crosses val="autoZero"/>
        <c:crossBetween val="midCat"/>
      </c:valAx>
      <c:valAx>
        <c:axId val="20552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1484815"/>
        <c:crosses val="autoZero"/>
        <c:crossBetween val="midCat"/>
      </c:valAx>
      <c:valAx>
        <c:axId val="39557046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5577807"/>
        <c:crosses val="autoZero"/>
        <c:crossBetween val="midCat"/>
      </c:valAx>
      <c:valAx>
        <c:axId val="395577807"/>
        <c:scaling>
          <c:orientation val="minMax"/>
        </c:scaling>
        <c:delete val="0"/>
        <c:axPos val="r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5570463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MX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MX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MX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% de cobertura de educación primaria vs Presupuesto devengado para</a:t>
            </a:r>
            <a:r>
              <a:rPr lang="es-MX" baseline="0"/>
              <a:t> </a:t>
            </a:r>
            <a:r>
              <a:rPr lang="es-MX"/>
              <a:t>educación escolar de primaria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Tablas!$G$61</c:f>
              <c:strCache>
                <c:ptCount val="1"/>
                <c:pt idx="0">
                  <c:v>% de cobertura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xVal>
            <c:numRef>
              <c:f>Tablas!$D$62:$D$66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xVal>
          <c:yVal>
            <c:numRef>
              <c:f>Tablas!$G$62:$G$66</c:f>
              <c:numCache>
                <c:formatCode>0.0%</c:formatCode>
                <c:ptCount val="5"/>
                <c:pt idx="0">
                  <c:v>0.89638443080911</c:v>
                </c:pt>
                <c:pt idx="1">
                  <c:v>0.8596177970755</c:v>
                </c:pt>
                <c:pt idx="2">
                  <c:v>0.826879544008884</c:v>
                </c:pt>
                <c:pt idx="3">
                  <c:v>0.807909948859045</c:v>
                </c:pt>
                <c:pt idx="4">
                  <c:v>0.785750119566922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675519"/>
        <c:axId val="228674223"/>
      </c:scatterChart>
      <c:scatterChart>
        <c:scatterStyle val="smoothMarker"/>
        <c:varyColors val="0"/>
        <c:ser>
          <c:idx val="1"/>
          <c:order val="1"/>
          <c:tx>
            <c:strRef>
              <c:f>Tablas!$H$61</c:f>
              <c:strCache>
                <c:ptCount val="1"/>
                <c:pt idx="0">
                  <c:v>Devengado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xVal>
            <c:numRef>
              <c:f>Tablas!$D$62:$D$66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xVal>
          <c:yVal>
            <c:numRef>
              <c:f>Tablas!$H$62:$H$66</c:f>
              <c:numCache>
                <c:formatCode>_-[$Q-100A]* #,##0.00_-;\-[$Q-100A]* #,##0.00_-;_-[$Q-100A]* "-"??_-;_-@_-</c:formatCode>
                <c:ptCount val="5"/>
                <c:pt idx="0">
                  <c:v>5277657965.84</c:v>
                </c:pt>
                <c:pt idx="1">
                  <c:v>5694752944.96</c:v>
                </c:pt>
                <c:pt idx="2">
                  <c:v>6327679279.7</c:v>
                </c:pt>
                <c:pt idx="3">
                  <c:v>6327679279.7</c:v>
                </c:pt>
                <c:pt idx="4">
                  <c:v>7035600349.53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672063"/>
        <c:axId val="228664719"/>
      </c:scatterChart>
      <c:valAx>
        <c:axId val="228675519"/>
        <c:scaling>
          <c:orientation val="minMax"/>
          <c:min val="201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8674223"/>
        <c:crosses val="autoZero"/>
        <c:crossBetween val="midCat"/>
      </c:valAx>
      <c:valAx>
        <c:axId val="22867422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8675519"/>
        <c:crosses val="max"/>
        <c:crossBetween val="midCat"/>
      </c:valAx>
      <c:valAx>
        <c:axId val="22867206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8664719"/>
        <c:crosses val="autoZero"/>
        <c:crossBetween val="midCat"/>
      </c:valAx>
      <c:valAx>
        <c:axId val="228664719"/>
        <c:scaling>
          <c:orientation val="minMax"/>
        </c:scaling>
        <c:delete val="0"/>
        <c:axPos val="l"/>
        <c:numFmt formatCode="_-[$Q-100A]* #,##0.00_-;\-[$Q-100A]* #,##0.00_-;_-[$Q-100A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8672063"/>
        <c:crosses val="autoZero"/>
        <c:crossBetween val="midCat"/>
        <c:dispUnits>
          <c:builtInUnit val="million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>
                <a:spAutoFit/>
              </a:bodyPr>
              <a:lstStyle/>
              <a:p>
                <a:pPr>
                  <a:defRPr lang="es-MX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MX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MX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MX"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Alumnos Inscritos en primaria </a:t>
            </a:r>
            <a:endParaRPr lang="en-US" sz="1600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METADATA!$C$4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METADATA!$B$5:$B$26</c:f>
              <c:strCache>
                <c:ptCount val="22"/>
                <c:pt idx="0">
                  <c:v>Alta Verapaz</c:v>
                </c:pt>
                <c:pt idx="1">
                  <c:v>Baja Verapaz</c:v>
                </c:pt>
                <c:pt idx="2">
                  <c:v>Chimaltenango</c:v>
                </c:pt>
                <c:pt idx="3">
                  <c:v>Chiquimula</c:v>
                </c:pt>
                <c:pt idx="4">
                  <c:v>El Progreso</c:v>
                </c:pt>
                <c:pt idx="5">
                  <c:v>Escuintla</c:v>
                </c:pt>
                <c:pt idx="6">
                  <c:v>Guatemala</c:v>
                </c:pt>
                <c:pt idx="7">
                  <c:v>Huehuetenango</c:v>
                </c:pt>
                <c:pt idx="8">
                  <c:v>Izabal</c:v>
                </c:pt>
                <c:pt idx="9">
                  <c:v>Jalapa</c:v>
                </c:pt>
                <c:pt idx="10">
                  <c:v>Jutiapa</c:v>
                </c:pt>
                <c:pt idx="11">
                  <c:v>Petén</c:v>
                </c:pt>
                <c:pt idx="12">
                  <c:v>Quetzaltenango</c:v>
                </c:pt>
                <c:pt idx="13">
                  <c:v>Quiché</c:v>
                </c:pt>
                <c:pt idx="14">
                  <c:v>Retalhuleu</c:v>
                </c:pt>
                <c:pt idx="15">
                  <c:v>Sacatepéquez</c:v>
                </c:pt>
                <c:pt idx="16">
                  <c:v>San Marcos</c:v>
                </c:pt>
                <c:pt idx="17">
                  <c:v>Santa Rosa</c:v>
                </c:pt>
                <c:pt idx="18">
                  <c:v>Sololá</c:v>
                </c:pt>
                <c:pt idx="19">
                  <c:v>Suchitepéquez</c:v>
                </c:pt>
                <c:pt idx="20">
                  <c:v>Totonicapán</c:v>
                </c:pt>
                <c:pt idx="21">
                  <c:v>Zacapa</c:v>
                </c:pt>
              </c:strCache>
            </c:strRef>
          </c:cat>
          <c:val>
            <c:numRef>
              <c:f>METADATA!$C$5:$C$26</c:f>
              <c:numCache>
                <c:formatCode>#,##0</c:formatCode>
                <c:ptCount val="22"/>
                <c:pt idx="0">
                  <c:v>85161</c:v>
                </c:pt>
                <c:pt idx="1">
                  <c:v>21119</c:v>
                </c:pt>
                <c:pt idx="2">
                  <c:v>44192</c:v>
                </c:pt>
                <c:pt idx="3">
                  <c:v>29420</c:v>
                </c:pt>
                <c:pt idx="4">
                  <c:v>12003</c:v>
                </c:pt>
                <c:pt idx="5">
                  <c:v>48584</c:v>
                </c:pt>
                <c:pt idx="6">
                  <c:v>197115</c:v>
                </c:pt>
                <c:pt idx="7">
                  <c:v>92683</c:v>
                </c:pt>
                <c:pt idx="8">
                  <c:v>30444</c:v>
                </c:pt>
                <c:pt idx="9">
                  <c:v>25353</c:v>
                </c:pt>
                <c:pt idx="10">
                  <c:v>34993</c:v>
                </c:pt>
                <c:pt idx="11">
                  <c:v>41975</c:v>
                </c:pt>
                <c:pt idx="12">
                  <c:v>59543</c:v>
                </c:pt>
                <c:pt idx="13">
                  <c:v>75859</c:v>
                </c:pt>
                <c:pt idx="14">
                  <c:v>23546</c:v>
                </c:pt>
                <c:pt idx="15">
                  <c:v>21543</c:v>
                </c:pt>
                <c:pt idx="16">
                  <c:v>82952</c:v>
                </c:pt>
                <c:pt idx="17">
                  <c:v>27197</c:v>
                </c:pt>
                <c:pt idx="18">
                  <c:v>30783</c:v>
                </c:pt>
                <c:pt idx="19">
                  <c:v>39563</c:v>
                </c:pt>
                <c:pt idx="20">
                  <c:v>33588</c:v>
                </c:pt>
                <c:pt idx="21">
                  <c:v>17157</c:v>
                </c:pt>
              </c:numCache>
            </c:numRef>
          </c:val>
        </c:ser>
        <c:ser>
          <c:idx val="1"/>
          <c:order val="1"/>
          <c:tx>
            <c:strRef>
              <c:f>METADATA!$D$4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METADATA!$B$5:$B$26</c:f>
              <c:strCache>
                <c:ptCount val="22"/>
                <c:pt idx="0">
                  <c:v>Alta Verapaz</c:v>
                </c:pt>
                <c:pt idx="1">
                  <c:v>Baja Verapaz</c:v>
                </c:pt>
                <c:pt idx="2">
                  <c:v>Chimaltenango</c:v>
                </c:pt>
                <c:pt idx="3">
                  <c:v>Chiquimula</c:v>
                </c:pt>
                <c:pt idx="4">
                  <c:v>El Progreso</c:v>
                </c:pt>
                <c:pt idx="5">
                  <c:v>Escuintla</c:v>
                </c:pt>
                <c:pt idx="6">
                  <c:v>Guatemala</c:v>
                </c:pt>
                <c:pt idx="7">
                  <c:v>Huehuetenango</c:v>
                </c:pt>
                <c:pt idx="8">
                  <c:v>Izabal</c:v>
                </c:pt>
                <c:pt idx="9">
                  <c:v>Jalapa</c:v>
                </c:pt>
                <c:pt idx="10">
                  <c:v>Jutiapa</c:v>
                </c:pt>
                <c:pt idx="11">
                  <c:v>Petén</c:v>
                </c:pt>
                <c:pt idx="12">
                  <c:v>Quetzaltenango</c:v>
                </c:pt>
                <c:pt idx="13">
                  <c:v>Quiché</c:v>
                </c:pt>
                <c:pt idx="14">
                  <c:v>Retalhuleu</c:v>
                </c:pt>
                <c:pt idx="15">
                  <c:v>Sacatepéquez</c:v>
                </c:pt>
                <c:pt idx="16">
                  <c:v>San Marcos</c:v>
                </c:pt>
                <c:pt idx="17">
                  <c:v>Santa Rosa</c:v>
                </c:pt>
                <c:pt idx="18">
                  <c:v>Sololá</c:v>
                </c:pt>
                <c:pt idx="19">
                  <c:v>Suchitepéquez</c:v>
                </c:pt>
                <c:pt idx="20">
                  <c:v>Totonicapán</c:v>
                </c:pt>
                <c:pt idx="21">
                  <c:v>Zacapa</c:v>
                </c:pt>
              </c:strCache>
            </c:strRef>
          </c:cat>
          <c:val>
            <c:numRef>
              <c:f>METADATA!$D$5:$D$26</c:f>
              <c:numCache>
                <c:formatCode>#,##0</c:formatCode>
                <c:ptCount val="22"/>
                <c:pt idx="0">
                  <c:v>84385</c:v>
                </c:pt>
                <c:pt idx="1">
                  <c:v>20306</c:v>
                </c:pt>
                <c:pt idx="2">
                  <c:v>43313</c:v>
                </c:pt>
                <c:pt idx="3">
                  <c:v>28632</c:v>
                </c:pt>
                <c:pt idx="4">
                  <c:v>11515</c:v>
                </c:pt>
                <c:pt idx="5">
                  <c:v>47512</c:v>
                </c:pt>
                <c:pt idx="6">
                  <c:v>193253</c:v>
                </c:pt>
                <c:pt idx="7">
                  <c:v>90458</c:v>
                </c:pt>
                <c:pt idx="8">
                  <c:v>29570</c:v>
                </c:pt>
                <c:pt idx="9">
                  <c:v>24803</c:v>
                </c:pt>
                <c:pt idx="10">
                  <c:v>33729</c:v>
                </c:pt>
                <c:pt idx="11">
                  <c:v>40019</c:v>
                </c:pt>
                <c:pt idx="12">
                  <c:v>58079</c:v>
                </c:pt>
                <c:pt idx="13">
                  <c:v>75049</c:v>
                </c:pt>
                <c:pt idx="14">
                  <c:v>22810</c:v>
                </c:pt>
                <c:pt idx="15">
                  <c:v>21072</c:v>
                </c:pt>
                <c:pt idx="16">
                  <c:v>81035</c:v>
                </c:pt>
                <c:pt idx="17">
                  <c:v>26313</c:v>
                </c:pt>
                <c:pt idx="18">
                  <c:v>30150</c:v>
                </c:pt>
                <c:pt idx="19">
                  <c:v>38987</c:v>
                </c:pt>
                <c:pt idx="20">
                  <c:v>32843</c:v>
                </c:pt>
                <c:pt idx="21">
                  <c:v>16638</c:v>
                </c:pt>
              </c:numCache>
            </c:numRef>
          </c:val>
        </c:ser>
        <c:ser>
          <c:idx val="2"/>
          <c:order val="2"/>
          <c:tx>
            <c:strRef>
              <c:f>METADATA!$E$4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METADATA!$B$5:$B$26</c:f>
              <c:strCache>
                <c:ptCount val="22"/>
                <c:pt idx="0">
                  <c:v>Alta Verapaz</c:v>
                </c:pt>
                <c:pt idx="1">
                  <c:v>Baja Verapaz</c:v>
                </c:pt>
                <c:pt idx="2">
                  <c:v>Chimaltenango</c:v>
                </c:pt>
                <c:pt idx="3">
                  <c:v>Chiquimula</c:v>
                </c:pt>
                <c:pt idx="4">
                  <c:v>El Progreso</c:v>
                </c:pt>
                <c:pt idx="5">
                  <c:v>Escuintla</c:v>
                </c:pt>
                <c:pt idx="6">
                  <c:v>Guatemala</c:v>
                </c:pt>
                <c:pt idx="7">
                  <c:v>Huehuetenango</c:v>
                </c:pt>
                <c:pt idx="8">
                  <c:v>Izabal</c:v>
                </c:pt>
                <c:pt idx="9">
                  <c:v>Jalapa</c:v>
                </c:pt>
                <c:pt idx="10">
                  <c:v>Jutiapa</c:v>
                </c:pt>
                <c:pt idx="11">
                  <c:v>Petén</c:v>
                </c:pt>
                <c:pt idx="12">
                  <c:v>Quetzaltenango</c:v>
                </c:pt>
                <c:pt idx="13">
                  <c:v>Quiché</c:v>
                </c:pt>
                <c:pt idx="14">
                  <c:v>Retalhuleu</c:v>
                </c:pt>
                <c:pt idx="15">
                  <c:v>Sacatepéquez</c:v>
                </c:pt>
                <c:pt idx="16">
                  <c:v>San Marcos</c:v>
                </c:pt>
                <c:pt idx="17">
                  <c:v>Santa Rosa</c:v>
                </c:pt>
                <c:pt idx="18">
                  <c:v>Sololá</c:v>
                </c:pt>
                <c:pt idx="19">
                  <c:v>Suchitepéquez</c:v>
                </c:pt>
                <c:pt idx="20">
                  <c:v>Totonicapán</c:v>
                </c:pt>
                <c:pt idx="21">
                  <c:v>Zacapa</c:v>
                </c:pt>
              </c:strCache>
            </c:strRef>
          </c:cat>
          <c:val>
            <c:numRef>
              <c:f>METADATA!$E$5:$E$26</c:f>
              <c:numCache>
                <c:formatCode>#,##0</c:formatCode>
                <c:ptCount val="22"/>
                <c:pt idx="0">
                  <c:v>83437</c:v>
                </c:pt>
                <c:pt idx="1">
                  <c:v>19941</c:v>
                </c:pt>
                <c:pt idx="2">
                  <c:v>42588</c:v>
                </c:pt>
                <c:pt idx="3">
                  <c:v>28318</c:v>
                </c:pt>
                <c:pt idx="4">
                  <c:v>11178</c:v>
                </c:pt>
                <c:pt idx="5">
                  <c:v>46483</c:v>
                </c:pt>
                <c:pt idx="6">
                  <c:v>191688</c:v>
                </c:pt>
                <c:pt idx="7">
                  <c:v>88786</c:v>
                </c:pt>
                <c:pt idx="8">
                  <c:v>27991</c:v>
                </c:pt>
                <c:pt idx="9">
                  <c:v>24130</c:v>
                </c:pt>
                <c:pt idx="10">
                  <c:v>32465</c:v>
                </c:pt>
                <c:pt idx="11">
                  <c:v>38581</c:v>
                </c:pt>
                <c:pt idx="12">
                  <c:v>56212</c:v>
                </c:pt>
                <c:pt idx="13">
                  <c:v>73132</c:v>
                </c:pt>
                <c:pt idx="14">
                  <c:v>22054</c:v>
                </c:pt>
                <c:pt idx="15">
                  <c:v>20897</c:v>
                </c:pt>
                <c:pt idx="16">
                  <c:v>79277</c:v>
                </c:pt>
                <c:pt idx="17">
                  <c:v>25463</c:v>
                </c:pt>
                <c:pt idx="18">
                  <c:v>29717</c:v>
                </c:pt>
                <c:pt idx="19">
                  <c:v>37881</c:v>
                </c:pt>
                <c:pt idx="20">
                  <c:v>32047</c:v>
                </c:pt>
                <c:pt idx="21">
                  <c:v>15986</c:v>
                </c:pt>
              </c:numCache>
            </c:numRef>
          </c:val>
        </c:ser>
        <c:ser>
          <c:idx val="3"/>
          <c:order val="3"/>
          <c:tx>
            <c:strRef>
              <c:f>METADATA!$F$4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METADATA!$B$5:$B$26</c:f>
              <c:strCache>
                <c:ptCount val="22"/>
                <c:pt idx="0">
                  <c:v>Alta Verapaz</c:v>
                </c:pt>
                <c:pt idx="1">
                  <c:v>Baja Verapaz</c:v>
                </c:pt>
                <c:pt idx="2">
                  <c:v>Chimaltenango</c:v>
                </c:pt>
                <c:pt idx="3">
                  <c:v>Chiquimula</c:v>
                </c:pt>
                <c:pt idx="4">
                  <c:v>El Progreso</c:v>
                </c:pt>
                <c:pt idx="5">
                  <c:v>Escuintla</c:v>
                </c:pt>
                <c:pt idx="6">
                  <c:v>Guatemala</c:v>
                </c:pt>
                <c:pt idx="7">
                  <c:v>Huehuetenango</c:v>
                </c:pt>
                <c:pt idx="8">
                  <c:v>Izabal</c:v>
                </c:pt>
                <c:pt idx="9">
                  <c:v>Jalapa</c:v>
                </c:pt>
                <c:pt idx="10">
                  <c:v>Jutiapa</c:v>
                </c:pt>
                <c:pt idx="11">
                  <c:v>Petén</c:v>
                </c:pt>
                <c:pt idx="12">
                  <c:v>Quetzaltenango</c:v>
                </c:pt>
                <c:pt idx="13">
                  <c:v>Quiché</c:v>
                </c:pt>
                <c:pt idx="14">
                  <c:v>Retalhuleu</c:v>
                </c:pt>
                <c:pt idx="15">
                  <c:v>Sacatepéquez</c:v>
                </c:pt>
                <c:pt idx="16">
                  <c:v>San Marcos</c:v>
                </c:pt>
                <c:pt idx="17">
                  <c:v>Santa Rosa</c:v>
                </c:pt>
                <c:pt idx="18">
                  <c:v>Sololá</c:v>
                </c:pt>
                <c:pt idx="19">
                  <c:v>Suchitepéquez</c:v>
                </c:pt>
                <c:pt idx="20">
                  <c:v>Totonicapán</c:v>
                </c:pt>
                <c:pt idx="21">
                  <c:v>Zacapa</c:v>
                </c:pt>
              </c:strCache>
            </c:strRef>
          </c:cat>
          <c:val>
            <c:numRef>
              <c:f>METADATA!$F$5:$F$26</c:f>
              <c:numCache>
                <c:formatCode>#,##0</c:formatCode>
                <c:ptCount val="22"/>
                <c:pt idx="0">
                  <c:v>83851</c:v>
                </c:pt>
                <c:pt idx="1">
                  <c:v>19811</c:v>
                </c:pt>
                <c:pt idx="2">
                  <c:v>42309</c:v>
                </c:pt>
                <c:pt idx="3">
                  <c:v>28456</c:v>
                </c:pt>
                <c:pt idx="4">
                  <c:v>10977</c:v>
                </c:pt>
                <c:pt idx="5">
                  <c:v>46541</c:v>
                </c:pt>
                <c:pt idx="6">
                  <c:v>192638</c:v>
                </c:pt>
                <c:pt idx="7">
                  <c:v>87662</c:v>
                </c:pt>
                <c:pt idx="8">
                  <c:v>27670</c:v>
                </c:pt>
                <c:pt idx="9">
                  <c:v>24119</c:v>
                </c:pt>
                <c:pt idx="10">
                  <c:v>31658</c:v>
                </c:pt>
                <c:pt idx="11">
                  <c:v>38596</c:v>
                </c:pt>
                <c:pt idx="12">
                  <c:v>54713</c:v>
                </c:pt>
                <c:pt idx="13">
                  <c:v>72493</c:v>
                </c:pt>
                <c:pt idx="14">
                  <c:v>21835</c:v>
                </c:pt>
                <c:pt idx="15">
                  <c:v>20890</c:v>
                </c:pt>
                <c:pt idx="16">
                  <c:v>77599</c:v>
                </c:pt>
                <c:pt idx="17">
                  <c:v>25310</c:v>
                </c:pt>
                <c:pt idx="18">
                  <c:v>29313</c:v>
                </c:pt>
                <c:pt idx="19">
                  <c:v>37574</c:v>
                </c:pt>
                <c:pt idx="20">
                  <c:v>30995</c:v>
                </c:pt>
                <c:pt idx="21">
                  <c:v>15680</c:v>
                </c:pt>
              </c:numCache>
            </c:numRef>
          </c:val>
        </c:ser>
        <c:ser>
          <c:idx val="4"/>
          <c:order val="4"/>
          <c:tx>
            <c:strRef>
              <c:f>METADATA!$G$4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METADATA!$B$5:$B$26</c:f>
              <c:strCache>
                <c:ptCount val="22"/>
                <c:pt idx="0">
                  <c:v>Alta Verapaz</c:v>
                </c:pt>
                <c:pt idx="1">
                  <c:v>Baja Verapaz</c:v>
                </c:pt>
                <c:pt idx="2">
                  <c:v>Chimaltenango</c:v>
                </c:pt>
                <c:pt idx="3">
                  <c:v>Chiquimula</c:v>
                </c:pt>
                <c:pt idx="4">
                  <c:v>El Progreso</c:v>
                </c:pt>
                <c:pt idx="5">
                  <c:v>Escuintla</c:v>
                </c:pt>
                <c:pt idx="6">
                  <c:v>Guatemala</c:v>
                </c:pt>
                <c:pt idx="7">
                  <c:v>Huehuetenango</c:v>
                </c:pt>
                <c:pt idx="8">
                  <c:v>Izabal</c:v>
                </c:pt>
                <c:pt idx="9">
                  <c:v>Jalapa</c:v>
                </c:pt>
                <c:pt idx="10">
                  <c:v>Jutiapa</c:v>
                </c:pt>
                <c:pt idx="11">
                  <c:v>Petén</c:v>
                </c:pt>
                <c:pt idx="12">
                  <c:v>Quetzaltenango</c:v>
                </c:pt>
                <c:pt idx="13">
                  <c:v>Quiché</c:v>
                </c:pt>
                <c:pt idx="14">
                  <c:v>Retalhuleu</c:v>
                </c:pt>
                <c:pt idx="15">
                  <c:v>Sacatepéquez</c:v>
                </c:pt>
                <c:pt idx="16">
                  <c:v>San Marcos</c:v>
                </c:pt>
                <c:pt idx="17">
                  <c:v>Santa Rosa</c:v>
                </c:pt>
                <c:pt idx="18">
                  <c:v>Sololá</c:v>
                </c:pt>
                <c:pt idx="19">
                  <c:v>Suchitepéquez</c:v>
                </c:pt>
                <c:pt idx="20">
                  <c:v>Totonicapán</c:v>
                </c:pt>
                <c:pt idx="21">
                  <c:v>Zacapa</c:v>
                </c:pt>
              </c:strCache>
            </c:strRef>
          </c:cat>
          <c:val>
            <c:numRef>
              <c:f>METADATA!$G$5:$G$26</c:f>
              <c:numCache>
                <c:formatCode>#,##0</c:formatCode>
                <c:ptCount val="22"/>
                <c:pt idx="0">
                  <c:v>84117</c:v>
                </c:pt>
                <c:pt idx="1">
                  <c:v>19239</c:v>
                </c:pt>
                <c:pt idx="2">
                  <c:v>41893</c:v>
                </c:pt>
                <c:pt idx="3">
                  <c:v>27583</c:v>
                </c:pt>
                <c:pt idx="4">
                  <c:v>10856</c:v>
                </c:pt>
                <c:pt idx="5">
                  <c:v>46670</c:v>
                </c:pt>
                <c:pt idx="6">
                  <c:v>193464</c:v>
                </c:pt>
                <c:pt idx="7">
                  <c:v>85323</c:v>
                </c:pt>
                <c:pt idx="8">
                  <c:v>27096</c:v>
                </c:pt>
                <c:pt idx="9">
                  <c:v>23446</c:v>
                </c:pt>
                <c:pt idx="10">
                  <c:v>31141</c:v>
                </c:pt>
                <c:pt idx="11">
                  <c:v>38437</c:v>
                </c:pt>
                <c:pt idx="12">
                  <c:v>52953</c:v>
                </c:pt>
                <c:pt idx="13">
                  <c:v>70779</c:v>
                </c:pt>
                <c:pt idx="14">
                  <c:v>21440</c:v>
                </c:pt>
                <c:pt idx="15">
                  <c:v>20929</c:v>
                </c:pt>
                <c:pt idx="16">
                  <c:v>75601</c:v>
                </c:pt>
                <c:pt idx="17">
                  <c:v>24955</c:v>
                </c:pt>
                <c:pt idx="18">
                  <c:v>28649</c:v>
                </c:pt>
                <c:pt idx="19">
                  <c:v>37016</c:v>
                </c:pt>
                <c:pt idx="20">
                  <c:v>29985</c:v>
                </c:pt>
                <c:pt idx="21">
                  <c:v>15531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742239"/>
        <c:axId val="67212671"/>
      </c:barChart>
      <c:catAx>
        <c:axId val="357422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212671"/>
        <c:crosses val="autoZero"/>
        <c:auto val="1"/>
        <c:lblAlgn val="ctr"/>
        <c:lblOffset val="100"/>
        <c:noMultiLvlLbl val="0"/>
      </c:catAx>
      <c:valAx>
        <c:axId val="67212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74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MX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MX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s-MX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MX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Proyección de población de niños en edad escolar de primaria </a:t>
            </a:r>
            <a:endParaRPr lang="es-MX" sz="16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METADATA!$H$4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METADATA!$B$5:$B$26</c:f>
              <c:strCache>
                <c:ptCount val="22"/>
                <c:pt idx="0">
                  <c:v>Alta Verapaz</c:v>
                </c:pt>
                <c:pt idx="1">
                  <c:v>Baja Verapaz</c:v>
                </c:pt>
                <c:pt idx="2">
                  <c:v>Chimaltenango</c:v>
                </c:pt>
                <c:pt idx="3">
                  <c:v>Chiquimula</c:v>
                </c:pt>
                <c:pt idx="4">
                  <c:v>El Progreso</c:v>
                </c:pt>
                <c:pt idx="5">
                  <c:v>Escuintla</c:v>
                </c:pt>
                <c:pt idx="6">
                  <c:v>Guatemala</c:v>
                </c:pt>
                <c:pt idx="7">
                  <c:v>Huehuetenango</c:v>
                </c:pt>
                <c:pt idx="8">
                  <c:v>Izabal</c:v>
                </c:pt>
                <c:pt idx="9">
                  <c:v>Jalapa</c:v>
                </c:pt>
                <c:pt idx="10">
                  <c:v>Jutiapa</c:v>
                </c:pt>
                <c:pt idx="11">
                  <c:v>Petén</c:v>
                </c:pt>
                <c:pt idx="12">
                  <c:v>Quetzaltenango</c:v>
                </c:pt>
                <c:pt idx="13">
                  <c:v>Quiché</c:v>
                </c:pt>
                <c:pt idx="14">
                  <c:v>Retalhuleu</c:v>
                </c:pt>
                <c:pt idx="15">
                  <c:v>Sacatepéquez</c:v>
                </c:pt>
                <c:pt idx="16">
                  <c:v>San Marcos</c:v>
                </c:pt>
                <c:pt idx="17">
                  <c:v>Santa Rosa</c:v>
                </c:pt>
                <c:pt idx="18">
                  <c:v>Sololá</c:v>
                </c:pt>
                <c:pt idx="19">
                  <c:v>Suchitepéquez</c:v>
                </c:pt>
                <c:pt idx="20">
                  <c:v>Totonicapán</c:v>
                </c:pt>
                <c:pt idx="21">
                  <c:v>Zacapa</c:v>
                </c:pt>
              </c:strCache>
            </c:strRef>
          </c:cat>
          <c:val>
            <c:numRef>
              <c:f>METADATA!$H$5:$H$26</c:f>
              <c:numCache>
                <c:formatCode>_-* #,##0_-;\-* #,##0_-;_-* "-"??_-;_-@_-</c:formatCode>
                <c:ptCount val="22"/>
                <c:pt idx="0">
                  <c:v>103498</c:v>
                </c:pt>
                <c:pt idx="1">
                  <c:v>23549</c:v>
                </c:pt>
                <c:pt idx="2">
                  <c:v>53800</c:v>
                </c:pt>
                <c:pt idx="3">
                  <c:v>32116</c:v>
                </c:pt>
                <c:pt idx="4">
                  <c:v>12122</c:v>
                </c:pt>
                <c:pt idx="5">
                  <c:v>51947</c:v>
                </c:pt>
                <c:pt idx="6">
                  <c:v>211210</c:v>
                </c:pt>
                <c:pt idx="7">
                  <c:v>100102</c:v>
                </c:pt>
                <c:pt idx="8">
                  <c:v>34793</c:v>
                </c:pt>
                <c:pt idx="9">
                  <c:v>28701</c:v>
                </c:pt>
                <c:pt idx="10">
                  <c:v>36137</c:v>
                </c:pt>
                <c:pt idx="11">
                  <c:v>57182</c:v>
                </c:pt>
                <c:pt idx="12">
                  <c:v>62290</c:v>
                </c:pt>
                <c:pt idx="13">
                  <c:v>90430</c:v>
                </c:pt>
                <c:pt idx="14">
                  <c:v>23814</c:v>
                </c:pt>
                <c:pt idx="15">
                  <c:v>24070</c:v>
                </c:pt>
                <c:pt idx="16">
                  <c:v>85080</c:v>
                </c:pt>
                <c:pt idx="17">
                  <c:v>27752</c:v>
                </c:pt>
                <c:pt idx="18">
                  <c:v>38419</c:v>
                </c:pt>
                <c:pt idx="19">
                  <c:v>42455</c:v>
                </c:pt>
                <c:pt idx="20">
                  <c:v>42226</c:v>
                </c:pt>
                <c:pt idx="21">
                  <c:v>17316</c:v>
                </c:pt>
              </c:numCache>
            </c:numRef>
          </c:val>
        </c:ser>
        <c:ser>
          <c:idx val="1"/>
          <c:order val="1"/>
          <c:tx>
            <c:strRef>
              <c:f>METADATA!$I$4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METADATA!$B$5:$B$26</c:f>
              <c:strCache>
                <c:ptCount val="22"/>
                <c:pt idx="0">
                  <c:v>Alta Verapaz</c:v>
                </c:pt>
                <c:pt idx="1">
                  <c:v>Baja Verapaz</c:v>
                </c:pt>
                <c:pt idx="2">
                  <c:v>Chimaltenango</c:v>
                </c:pt>
                <c:pt idx="3">
                  <c:v>Chiquimula</c:v>
                </c:pt>
                <c:pt idx="4">
                  <c:v>El Progreso</c:v>
                </c:pt>
                <c:pt idx="5">
                  <c:v>Escuintla</c:v>
                </c:pt>
                <c:pt idx="6">
                  <c:v>Guatemala</c:v>
                </c:pt>
                <c:pt idx="7">
                  <c:v>Huehuetenango</c:v>
                </c:pt>
                <c:pt idx="8">
                  <c:v>Izabal</c:v>
                </c:pt>
                <c:pt idx="9">
                  <c:v>Jalapa</c:v>
                </c:pt>
                <c:pt idx="10">
                  <c:v>Jutiapa</c:v>
                </c:pt>
                <c:pt idx="11">
                  <c:v>Petén</c:v>
                </c:pt>
                <c:pt idx="12">
                  <c:v>Quetzaltenango</c:v>
                </c:pt>
                <c:pt idx="13">
                  <c:v>Quiché</c:v>
                </c:pt>
                <c:pt idx="14">
                  <c:v>Retalhuleu</c:v>
                </c:pt>
                <c:pt idx="15">
                  <c:v>Sacatepéquez</c:v>
                </c:pt>
                <c:pt idx="16">
                  <c:v>San Marcos</c:v>
                </c:pt>
                <c:pt idx="17">
                  <c:v>Santa Rosa</c:v>
                </c:pt>
                <c:pt idx="18">
                  <c:v>Sololá</c:v>
                </c:pt>
                <c:pt idx="19">
                  <c:v>Suchitepéquez</c:v>
                </c:pt>
                <c:pt idx="20">
                  <c:v>Totonicapán</c:v>
                </c:pt>
                <c:pt idx="21">
                  <c:v>Zacapa</c:v>
                </c:pt>
              </c:strCache>
            </c:strRef>
          </c:cat>
          <c:val>
            <c:numRef>
              <c:f>METADATA!$I$5:$I$26</c:f>
              <c:numCache>
                <c:formatCode>_-* #,##0_-;\-* #,##0_-;_-* "-"??_-;_-@_-</c:formatCode>
                <c:ptCount val="22"/>
                <c:pt idx="0">
                  <c:v>106168</c:v>
                </c:pt>
                <c:pt idx="1">
                  <c:v>23903</c:v>
                </c:pt>
                <c:pt idx="2">
                  <c:v>55352</c:v>
                </c:pt>
                <c:pt idx="3">
                  <c:v>32717</c:v>
                </c:pt>
                <c:pt idx="4">
                  <c:v>12193</c:v>
                </c:pt>
                <c:pt idx="5">
                  <c:v>52414</c:v>
                </c:pt>
                <c:pt idx="6">
                  <c:v>212590</c:v>
                </c:pt>
                <c:pt idx="7">
                  <c:v>102270</c:v>
                </c:pt>
                <c:pt idx="8">
                  <c:v>35355</c:v>
                </c:pt>
                <c:pt idx="9">
                  <c:v>29469</c:v>
                </c:pt>
                <c:pt idx="10">
                  <c:v>36446</c:v>
                </c:pt>
                <c:pt idx="11">
                  <c:v>59521</c:v>
                </c:pt>
                <c:pt idx="12">
                  <c:v>63359</c:v>
                </c:pt>
                <c:pt idx="13">
                  <c:v>93496</c:v>
                </c:pt>
                <c:pt idx="14">
                  <c:v>24051</c:v>
                </c:pt>
                <c:pt idx="15">
                  <c:v>24422</c:v>
                </c:pt>
                <c:pt idx="16">
                  <c:v>86079</c:v>
                </c:pt>
                <c:pt idx="17">
                  <c:v>27957</c:v>
                </c:pt>
                <c:pt idx="18">
                  <c:v>39888</c:v>
                </c:pt>
                <c:pt idx="19">
                  <c:v>43072</c:v>
                </c:pt>
                <c:pt idx="20">
                  <c:v>43960</c:v>
                </c:pt>
                <c:pt idx="21">
                  <c:v>17339</c:v>
                </c:pt>
              </c:numCache>
            </c:numRef>
          </c:val>
        </c:ser>
        <c:ser>
          <c:idx val="2"/>
          <c:order val="2"/>
          <c:tx>
            <c:strRef>
              <c:f>METADATA!$J$4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METADATA!$B$5:$B$26</c:f>
              <c:strCache>
                <c:ptCount val="22"/>
                <c:pt idx="0">
                  <c:v>Alta Verapaz</c:v>
                </c:pt>
                <c:pt idx="1">
                  <c:v>Baja Verapaz</c:v>
                </c:pt>
                <c:pt idx="2">
                  <c:v>Chimaltenango</c:v>
                </c:pt>
                <c:pt idx="3">
                  <c:v>Chiquimula</c:v>
                </c:pt>
                <c:pt idx="4">
                  <c:v>El Progreso</c:v>
                </c:pt>
                <c:pt idx="5">
                  <c:v>Escuintla</c:v>
                </c:pt>
                <c:pt idx="6">
                  <c:v>Guatemala</c:v>
                </c:pt>
                <c:pt idx="7">
                  <c:v>Huehuetenango</c:v>
                </c:pt>
                <c:pt idx="8">
                  <c:v>Izabal</c:v>
                </c:pt>
                <c:pt idx="9">
                  <c:v>Jalapa</c:v>
                </c:pt>
                <c:pt idx="10">
                  <c:v>Jutiapa</c:v>
                </c:pt>
                <c:pt idx="11">
                  <c:v>Petén</c:v>
                </c:pt>
                <c:pt idx="12">
                  <c:v>Quetzaltenango</c:v>
                </c:pt>
                <c:pt idx="13">
                  <c:v>Quiché</c:v>
                </c:pt>
                <c:pt idx="14">
                  <c:v>Retalhuleu</c:v>
                </c:pt>
                <c:pt idx="15">
                  <c:v>Sacatepéquez</c:v>
                </c:pt>
                <c:pt idx="16">
                  <c:v>San Marcos</c:v>
                </c:pt>
                <c:pt idx="17">
                  <c:v>Santa Rosa</c:v>
                </c:pt>
                <c:pt idx="18">
                  <c:v>Sololá</c:v>
                </c:pt>
                <c:pt idx="19">
                  <c:v>Suchitepéquez</c:v>
                </c:pt>
                <c:pt idx="20">
                  <c:v>Totonicapán</c:v>
                </c:pt>
                <c:pt idx="21">
                  <c:v>Zacapa</c:v>
                </c:pt>
              </c:strCache>
            </c:strRef>
          </c:cat>
          <c:val>
            <c:numRef>
              <c:f>METADATA!$J$5:$J$26</c:f>
              <c:numCache>
                <c:formatCode>_-* #,##0_-;\-* #,##0_-;_-* "-"??_-;_-@_-</c:formatCode>
                <c:ptCount val="22"/>
                <c:pt idx="0">
                  <c:v>105141</c:v>
                </c:pt>
                <c:pt idx="1">
                  <c:v>24312</c:v>
                </c:pt>
                <c:pt idx="2">
                  <c:v>57038</c:v>
                </c:pt>
                <c:pt idx="3">
                  <c:v>32907</c:v>
                </c:pt>
                <c:pt idx="4">
                  <c:v>12235</c:v>
                </c:pt>
                <c:pt idx="5">
                  <c:v>52423</c:v>
                </c:pt>
                <c:pt idx="6">
                  <c:v>208436</c:v>
                </c:pt>
                <c:pt idx="7">
                  <c:v>105510</c:v>
                </c:pt>
                <c:pt idx="8">
                  <c:v>35254</c:v>
                </c:pt>
                <c:pt idx="9">
                  <c:v>30404</c:v>
                </c:pt>
                <c:pt idx="10">
                  <c:v>38244</c:v>
                </c:pt>
                <c:pt idx="11">
                  <c:v>62127</c:v>
                </c:pt>
                <c:pt idx="12">
                  <c:v>65847</c:v>
                </c:pt>
                <c:pt idx="13">
                  <c:v>97380</c:v>
                </c:pt>
                <c:pt idx="14">
                  <c:v>24595</c:v>
                </c:pt>
                <c:pt idx="15">
                  <c:v>25859</c:v>
                </c:pt>
                <c:pt idx="16">
                  <c:v>87305</c:v>
                </c:pt>
                <c:pt idx="17">
                  <c:v>28276</c:v>
                </c:pt>
                <c:pt idx="18">
                  <c:v>42206</c:v>
                </c:pt>
                <c:pt idx="19">
                  <c:v>43741</c:v>
                </c:pt>
                <c:pt idx="20">
                  <c:v>47394</c:v>
                </c:pt>
                <c:pt idx="21">
                  <c:v>16899</c:v>
                </c:pt>
              </c:numCache>
            </c:numRef>
          </c:val>
        </c:ser>
        <c:ser>
          <c:idx val="3"/>
          <c:order val="3"/>
          <c:tx>
            <c:strRef>
              <c:f>METADATA!$K$4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METADATA!$B$5:$B$26</c:f>
              <c:strCache>
                <c:ptCount val="22"/>
                <c:pt idx="0">
                  <c:v>Alta Verapaz</c:v>
                </c:pt>
                <c:pt idx="1">
                  <c:v>Baja Verapaz</c:v>
                </c:pt>
                <c:pt idx="2">
                  <c:v>Chimaltenango</c:v>
                </c:pt>
                <c:pt idx="3">
                  <c:v>Chiquimula</c:v>
                </c:pt>
                <c:pt idx="4">
                  <c:v>El Progreso</c:v>
                </c:pt>
                <c:pt idx="5">
                  <c:v>Escuintla</c:v>
                </c:pt>
                <c:pt idx="6">
                  <c:v>Guatemala</c:v>
                </c:pt>
                <c:pt idx="7">
                  <c:v>Huehuetenango</c:v>
                </c:pt>
                <c:pt idx="8">
                  <c:v>Izabal</c:v>
                </c:pt>
                <c:pt idx="9">
                  <c:v>Jalapa</c:v>
                </c:pt>
                <c:pt idx="10">
                  <c:v>Jutiapa</c:v>
                </c:pt>
                <c:pt idx="11">
                  <c:v>Petén</c:v>
                </c:pt>
                <c:pt idx="12">
                  <c:v>Quetzaltenango</c:v>
                </c:pt>
                <c:pt idx="13">
                  <c:v>Quiché</c:v>
                </c:pt>
                <c:pt idx="14">
                  <c:v>Retalhuleu</c:v>
                </c:pt>
                <c:pt idx="15">
                  <c:v>Sacatepéquez</c:v>
                </c:pt>
                <c:pt idx="16">
                  <c:v>San Marcos</c:v>
                </c:pt>
                <c:pt idx="17">
                  <c:v>Santa Rosa</c:v>
                </c:pt>
                <c:pt idx="18">
                  <c:v>Sololá</c:v>
                </c:pt>
                <c:pt idx="19">
                  <c:v>Suchitepéquez</c:v>
                </c:pt>
                <c:pt idx="20">
                  <c:v>Totonicapán</c:v>
                </c:pt>
                <c:pt idx="21">
                  <c:v>Zacapa</c:v>
                </c:pt>
              </c:strCache>
            </c:strRef>
          </c:cat>
          <c:val>
            <c:numRef>
              <c:f>METADATA!$K$5:$K$26</c:f>
              <c:numCache>
                <c:formatCode>_-* #,##0_-;\-* #,##0_-;_-* "-"??_-;_-@_-</c:formatCode>
                <c:ptCount val="22"/>
                <c:pt idx="0">
                  <c:v>106779</c:v>
                </c:pt>
                <c:pt idx="1">
                  <c:v>24746</c:v>
                </c:pt>
                <c:pt idx="2">
                  <c:v>58471</c:v>
                </c:pt>
                <c:pt idx="3">
                  <c:v>33352</c:v>
                </c:pt>
                <c:pt idx="4">
                  <c:v>12341</c:v>
                </c:pt>
                <c:pt idx="5">
                  <c:v>52924</c:v>
                </c:pt>
                <c:pt idx="6">
                  <c:v>207719</c:v>
                </c:pt>
                <c:pt idx="7">
                  <c:v>108051</c:v>
                </c:pt>
                <c:pt idx="8">
                  <c:v>35666</c:v>
                </c:pt>
                <c:pt idx="9">
                  <c:v>31137</c:v>
                </c:pt>
                <c:pt idx="10">
                  <c:v>38959</c:v>
                </c:pt>
                <c:pt idx="11">
                  <c:v>64483</c:v>
                </c:pt>
                <c:pt idx="12">
                  <c:v>67269</c:v>
                </c:pt>
                <c:pt idx="13">
                  <c:v>100438</c:v>
                </c:pt>
                <c:pt idx="14">
                  <c:v>25019</c:v>
                </c:pt>
                <c:pt idx="15">
                  <c:v>24640</c:v>
                </c:pt>
                <c:pt idx="16">
                  <c:v>88539</c:v>
                </c:pt>
                <c:pt idx="17">
                  <c:v>28617</c:v>
                </c:pt>
                <c:pt idx="18">
                  <c:v>43633</c:v>
                </c:pt>
                <c:pt idx="19">
                  <c:v>44489</c:v>
                </c:pt>
                <c:pt idx="20">
                  <c:v>49227</c:v>
                </c:pt>
                <c:pt idx="21">
                  <c:v>16872</c:v>
                </c:pt>
              </c:numCache>
            </c:numRef>
          </c:val>
        </c:ser>
        <c:ser>
          <c:idx val="4"/>
          <c:order val="4"/>
          <c:tx>
            <c:strRef>
              <c:f>METADATA!$L$4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METADATA!$B$5:$B$26</c:f>
              <c:strCache>
                <c:ptCount val="22"/>
                <c:pt idx="0">
                  <c:v>Alta Verapaz</c:v>
                </c:pt>
                <c:pt idx="1">
                  <c:v>Baja Verapaz</c:v>
                </c:pt>
                <c:pt idx="2">
                  <c:v>Chimaltenango</c:v>
                </c:pt>
                <c:pt idx="3">
                  <c:v>Chiquimula</c:v>
                </c:pt>
                <c:pt idx="4">
                  <c:v>El Progreso</c:v>
                </c:pt>
                <c:pt idx="5">
                  <c:v>Escuintla</c:v>
                </c:pt>
                <c:pt idx="6">
                  <c:v>Guatemala</c:v>
                </c:pt>
                <c:pt idx="7">
                  <c:v>Huehuetenango</c:v>
                </c:pt>
                <c:pt idx="8">
                  <c:v>Izabal</c:v>
                </c:pt>
                <c:pt idx="9">
                  <c:v>Jalapa</c:v>
                </c:pt>
                <c:pt idx="10">
                  <c:v>Jutiapa</c:v>
                </c:pt>
                <c:pt idx="11">
                  <c:v>Petén</c:v>
                </c:pt>
                <c:pt idx="12">
                  <c:v>Quetzaltenango</c:v>
                </c:pt>
                <c:pt idx="13">
                  <c:v>Quiché</c:v>
                </c:pt>
                <c:pt idx="14">
                  <c:v>Retalhuleu</c:v>
                </c:pt>
                <c:pt idx="15">
                  <c:v>Sacatepéquez</c:v>
                </c:pt>
                <c:pt idx="16">
                  <c:v>San Marcos</c:v>
                </c:pt>
                <c:pt idx="17">
                  <c:v>Santa Rosa</c:v>
                </c:pt>
                <c:pt idx="18">
                  <c:v>Sololá</c:v>
                </c:pt>
                <c:pt idx="19">
                  <c:v>Suchitepéquez</c:v>
                </c:pt>
                <c:pt idx="20">
                  <c:v>Totonicapán</c:v>
                </c:pt>
                <c:pt idx="21">
                  <c:v>Zacapa</c:v>
                </c:pt>
              </c:strCache>
            </c:strRef>
          </c:cat>
          <c:val>
            <c:numRef>
              <c:f>METADATA!$L$5:$L$26</c:f>
              <c:numCache>
                <c:formatCode>_-* #,##0_-;\-* #,##0_-;_-* "-"??_-;_-@_-</c:formatCode>
                <c:ptCount val="22"/>
                <c:pt idx="0">
                  <c:v>108470</c:v>
                </c:pt>
                <c:pt idx="1">
                  <c:v>25174</c:v>
                </c:pt>
                <c:pt idx="2">
                  <c:v>59694</c:v>
                </c:pt>
                <c:pt idx="3">
                  <c:v>33757</c:v>
                </c:pt>
                <c:pt idx="4">
                  <c:v>12428</c:v>
                </c:pt>
                <c:pt idx="5">
                  <c:v>53416</c:v>
                </c:pt>
                <c:pt idx="6">
                  <c:v>206874</c:v>
                </c:pt>
                <c:pt idx="7">
                  <c:v>109765</c:v>
                </c:pt>
                <c:pt idx="8">
                  <c:v>36104</c:v>
                </c:pt>
                <c:pt idx="9">
                  <c:v>31787</c:v>
                </c:pt>
                <c:pt idx="10">
                  <c:v>39547</c:v>
                </c:pt>
                <c:pt idx="11">
                  <c:v>66507</c:v>
                </c:pt>
                <c:pt idx="12">
                  <c:v>68482</c:v>
                </c:pt>
                <c:pt idx="13">
                  <c:v>103222</c:v>
                </c:pt>
                <c:pt idx="14">
                  <c:v>25425</c:v>
                </c:pt>
                <c:pt idx="15">
                  <c:v>24817</c:v>
                </c:pt>
                <c:pt idx="16">
                  <c:v>89687</c:v>
                </c:pt>
                <c:pt idx="17">
                  <c:v>28940</c:v>
                </c:pt>
                <c:pt idx="18">
                  <c:v>44780</c:v>
                </c:pt>
                <c:pt idx="19">
                  <c:v>45209</c:v>
                </c:pt>
                <c:pt idx="20">
                  <c:v>50750</c:v>
                </c:pt>
                <c:pt idx="21">
                  <c:v>16874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3564175"/>
        <c:axId val="67214399"/>
      </c:barChart>
      <c:catAx>
        <c:axId val="20935641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214399"/>
        <c:crosses val="autoZero"/>
        <c:auto val="1"/>
        <c:lblAlgn val="ctr"/>
        <c:lblOffset val="100"/>
        <c:noMultiLvlLbl val="0"/>
      </c:catAx>
      <c:valAx>
        <c:axId val="67214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9356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MX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MX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MX"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600" b="1"/>
              <a:t>Presupuesto devengado para educación escolar</a:t>
            </a:r>
            <a:r>
              <a:rPr lang="es-MX" sz="1600" b="1" baseline="0"/>
              <a:t> de primaria</a:t>
            </a:r>
            <a:endParaRPr lang="es-MX" sz="1600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METADATA!$M$4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METADATA!$B$5:$B$26</c:f>
              <c:strCache>
                <c:ptCount val="22"/>
                <c:pt idx="0">
                  <c:v>Alta Verapaz</c:v>
                </c:pt>
                <c:pt idx="1">
                  <c:v>Baja Verapaz</c:v>
                </c:pt>
                <c:pt idx="2">
                  <c:v>Chimaltenango</c:v>
                </c:pt>
                <c:pt idx="3">
                  <c:v>Chiquimula</c:v>
                </c:pt>
                <c:pt idx="4">
                  <c:v>El Progreso</c:v>
                </c:pt>
                <c:pt idx="5">
                  <c:v>Escuintla</c:v>
                </c:pt>
                <c:pt idx="6">
                  <c:v>Guatemala</c:v>
                </c:pt>
                <c:pt idx="7">
                  <c:v>Huehuetenango</c:v>
                </c:pt>
                <c:pt idx="8">
                  <c:v>Izabal</c:v>
                </c:pt>
                <c:pt idx="9">
                  <c:v>Jalapa</c:v>
                </c:pt>
                <c:pt idx="10">
                  <c:v>Jutiapa</c:v>
                </c:pt>
                <c:pt idx="11">
                  <c:v>Petén</c:v>
                </c:pt>
                <c:pt idx="12">
                  <c:v>Quetzaltenango</c:v>
                </c:pt>
                <c:pt idx="13">
                  <c:v>Quiché</c:v>
                </c:pt>
                <c:pt idx="14">
                  <c:v>Retalhuleu</c:v>
                </c:pt>
                <c:pt idx="15">
                  <c:v>Sacatepéquez</c:v>
                </c:pt>
                <c:pt idx="16">
                  <c:v>San Marcos</c:v>
                </c:pt>
                <c:pt idx="17">
                  <c:v>Santa Rosa</c:v>
                </c:pt>
                <c:pt idx="18">
                  <c:v>Sololá</c:v>
                </c:pt>
                <c:pt idx="19">
                  <c:v>Suchitepéquez</c:v>
                </c:pt>
                <c:pt idx="20">
                  <c:v>Totonicapán</c:v>
                </c:pt>
                <c:pt idx="21">
                  <c:v>Zacapa</c:v>
                </c:pt>
              </c:strCache>
            </c:strRef>
          </c:cat>
          <c:val>
            <c:numRef>
              <c:f>METADATA!$M$5:$M$26</c:f>
              <c:numCache>
                <c:formatCode>_-[$Q-100A]* #,##0.00_-;\-[$Q-100A]* #,##0.00_-;_-[$Q-100A]* "-"??_-;_-@_-</c:formatCode>
                <c:ptCount val="22"/>
                <c:pt idx="0">
                  <c:v>413761644.87</c:v>
                </c:pt>
                <c:pt idx="1">
                  <c:v>132285407.8</c:v>
                </c:pt>
                <c:pt idx="2">
                  <c:v>200477927.15</c:v>
                </c:pt>
                <c:pt idx="3">
                  <c:v>178115328.71</c:v>
                </c:pt>
                <c:pt idx="4">
                  <c:v>67302905.19</c:v>
                </c:pt>
                <c:pt idx="5">
                  <c:v>238130503.35</c:v>
                </c:pt>
                <c:pt idx="6">
                  <c:v>666960547.31</c:v>
                </c:pt>
                <c:pt idx="7">
                  <c:v>449923399.07</c:v>
                </c:pt>
                <c:pt idx="8">
                  <c:v>172003828.46</c:v>
                </c:pt>
                <c:pt idx="9">
                  <c:v>130709973.95</c:v>
                </c:pt>
                <c:pt idx="10">
                  <c:v>191961086.99</c:v>
                </c:pt>
                <c:pt idx="11">
                  <c:v>263795839.29</c:v>
                </c:pt>
                <c:pt idx="12">
                  <c:v>309275792.15</c:v>
                </c:pt>
                <c:pt idx="13">
                  <c:v>401603902.22</c:v>
                </c:pt>
                <c:pt idx="14">
                  <c:v>142361327.19</c:v>
                </c:pt>
                <c:pt idx="15">
                  <c:v>80051213.14</c:v>
                </c:pt>
                <c:pt idx="16">
                  <c:v>436212252.1</c:v>
                </c:pt>
                <c:pt idx="17">
                  <c:v>151572644.12</c:v>
                </c:pt>
                <c:pt idx="18">
                  <c:v>190664417.16</c:v>
                </c:pt>
                <c:pt idx="19">
                  <c:v>193585695.77</c:v>
                </c:pt>
                <c:pt idx="20">
                  <c:v>169752398.63</c:v>
                </c:pt>
                <c:pt idx="21">
                  <c:v>97149931.22</c:v>
                </c:pt>
              </c:numCache>
            </c:numRef>
          </c:val>
        </c:ser>
        <c:ser>
          <c:idx val="1"/>
          <c:order val="1"/>
          <c:tx>
            <c:strRef>
              <c:f>METADATA!$N$4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METADATA!$B$5:$B$26</c:f>
              <c:strCache>
                <c:ptCount val="22"/>
                <c:pt idx="0">
                  <c:v>Alta Verapaz</c:v>
                </c:pt>
                <c:pt idx="1">
                  <c:v>Baja Verapaz</c:v>
                </c:pt>
                <c:pt idx="2">
                  <c:v>Chimaltenango</c:v>
                </c:pt>
                <c:pt idx="3">
                  <c:v>Chiquimula</c:v>
                </c:pt>
                <c:pt idx="4">
                  <c:v>El Progreso</c:v>
                </c:pt>
                <c:pt idx="5">
                  <c:v>Escuintla</c:v>
                </c:pt>
                <c:pt idx="6">
                  <c:v>Guatemala</c:v>
                </c:pt>
                <c:pt idx="7">
                  <c:v>Huehuetenango</c:v>
                </c:pt>
                <c:pt idx="8">
                  <c:v>Izabal</c:v>
                </c:pt>
                <c:pt idx="9">
                  <c:v>Jalapa</c:v>
                </c:pt>
                <c:pt idx="10">
                  <c:v>Jutiapa</c:v>
                </c:pt>
                <c:pt idx="11">
                  <c:v>Petén</c:v>
                </c:pt>
                <c:pt idx="12">
                  <c:v>Quetzaltenango</c:v>
                </c:pt>
                <c:pt idx="13">
                  <c:v>Quiché</c:v>
                </c:pt>
                <c:pt idx="14">
                  <c:v>Retalhuleu</c:v>
                </c:pt>
                <c:pt idx="15">
                  <c:v>Sacatepéquez</c:v>
                </c:pt>
                <c:pt idx="16">
                  <c:v>San Marcos</c:v>
                </c:pt>
                <c:pt idx="17">
                  <c:v>Santa Rosa</c:v>
                </c:pt>
                <c:pt idx="18">
                  <c:v>Sololá</c:v>
                </c:pt>
                <c:pt idx="19">
                  <c:v>Suchitepéquez</c:v>
                </c:pt>
                <c:pt idx="20">
                  <c:v>Totonicapán</c:v>
                </c:pt>
                <c:pt idx="21">
                  <c:v>Zacapa</c:v>
                </c:pt>
              </c:strCache>
            </c:strRef>
          </c:cat>
          <c:val>
            <c:numRef>
              <c:f>METADATA!$N$5:$N$26</c:f>
              <c:numCache>
                <c:formatCode>_-[$Q-100A]* #,##0.00_-;\-[$Q-100A]* #,##0.00_-;_-[$Q-100A]* "-"??_-;_-@_-</c:formatCode>
                <c:ptCount val="22"/>
                <c:pt idx="0">
                  <c:v>458920917.07</c:v>
                </c:pt>
                <c:pt idx="1">
                  <c:v>146756694.97</c:v>
                </c:pt>
                <c:pt idx="2">
                  <c:v>215733749.79</c:v>
                </c:pt>
                <c:pt idx="3">
                  <c:v>183027742.29</c:v>
                </c:pt>
                <c:pt idx="4">
                  <c:v>70497073.74</c:v>
                </c:pt>
                <c:pt idx="5">
                  <c:v>249655590.5</c:v>
                </c:pt>
                <c:pt idx="6">
                  <c:v>717515007.49</c:v>
                </c:pt>
                <c:pt idx="7">
                  <c:v>482903766.19</c:v>
                </c:pt>
                <c:pt idx="8">
                  <c:v>180551531.91</c:v>
                </c:pt>
                <c:pt idx="9">
                  <c:v>143821315.23</c:v>
                </c:pt>
                <c:pt idx="10">
                  <c:v>206232963.32</c:v>
                </c:pt>
                <c:pt idx="11">
                  <c:v>279291702.14</c:v>
                </c:pt>
                <c:pt idx="12">
                  <c:v>330487405.21</c:v>
                </c:pt>
                <c:pt idx="13">
                  <c:v>441552626.25</c:v>
                </c:pt>
                <c:pt idx="14">
                  <c:v>152624881.1</c:v>
                </c:pt>
                <c:pt idx="15">
                  <c:v>86658583.22</c:v>
                </c:pt>
                <c:pt idx="16">
                  <c:v>474486173.77</c:v>
                </c:pt>
                <c:pt idx="17">
                  <c:v>161481386.76</c:v>
                </c:pt>
                <c:pt idx="18">
                  <c:v>210533413.13</c:v>
                </c:pt>
                <c:pt idx="19">
                  <c:v>212921106.96</c:v>
                </c:pt>
                <c:pt idx="20">
                  <c:v>185484884.45</c:v>
                </c:pt>
                <c:pt idx="21">
                  <c:v>103614429.47</c:v>
                </c:pt>
              </c:numCache>
            </c:numRef>
          </c:val>
        </c:ser>
        <c:ser>
          <c:idx val="2"/>
          <c:order val="2"/>
          <c:tx>
            <c:strRef>
              <c:f>METADATA!$O$4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METADATA!$B$5:$B$26</c:f>
              <c:strCache>
                <c:ptCount val="22"/>
                <c:pt idx="0">
                  <c:v>Alta Verapaz</c:v>
                </c:pt>
                <c:pt idx="1">
                  <c:v>Baja Verapaz</c:v>
                </c:pt>
                <c:pt idx="2">
                  <c:v>Chimaltenango</c:v>
                </c:pt>
                <c:pt idx="3">
                  <c:v>Chiquimula</c:v>
                </c:pt>
                <c:pt idx="4">
                  <c:v>El Progreso</c:v>
                </c:pt>
                <c:pt idx="5">
                  <c:v>Escuintla</c:v>
                </c:pt>
                <c:pt idx="6">
                  <c:v>Guatemala</c:v>
                </c:pt>
                <c:pt idx="7">
                  <c:v>Huehuetenango</c:v>
                </c:pt>
                <c:pt idx="8">
                  <c:v>Izabal</c:v>
                </c:pt>
                <c:pt idx="9">
                  <c:v>Jalapa</c:v>
                </c:pt>
                <c:pt idx="10">
                  <c:v>Jutiapa</c:v>
                </c:pt>
                <c:pt idx="11">
                  <c:v>Petén</c:v>
                </c:pt>
                <c:pt idx="12">
                  <c:v>Quetzaltenango</c:v>
                </c:pt>
                <c:pt idx="13">
                  <c:v>Quiché</c:v>
                </c:pt>
                <c:pt idx="14">
                  <c:v>Retalhuleu</c:v>
                </c:pt>
                <c:pt idx="15">
                  <c:v>Sacatepéquez</c:v>
                </c:pt>
                <c:pt idx="16">
                  <c:v>San Marcos</c:v>
                </c:pt>
                <c:pt idx="17">
                  <c:v>Santa Rosa</c:v>
                </c:pt>
                <c:pt idx="18">
                  <c:v>Sololá</c:v>
                </c:pt>
                <c:pt idx="19">
                  <c:v>Suchitepéquez</c:v>
                </c:pt>
                <c:pt idx="20">
                  <c:v>Totonicapán</c:v>
                </c:pt>
                <c:pt idx="21">
                  <c:v>Zacapa</c:v>
                </c:pt>
              </c:strCache>
            </c:strRef>
          </c:cat>
          <c:val>
            <c:numRef>
              <c:f>METADATA!$O$5:$O$26</c:f>
              <c:numCache>
                <c:formatCode>_-[$Q-100A]* #,##0.00_-;\-[$Q-100A]* #,##0.00_-;_-[$Q-100A]* "-"??_-;_-@_-</c:formatCode>
                <c:ptCount val="22"/>
                <c:pt idx="0">
                  <c:v>511495541.04</c:v>
                </c:pt>
                <c:pt idx="1">
                  <c:v>162878175.55</c:v>
                </c:pt>
                <c:pt idx="2">
                  <c:v>242876605.1</c:v>
                </c:pt>
                <c:pt idx="3">
                  <c:v>201983821.39</c:v>
                </c:pt>
                <c:pt idx="4">
                  <c:v>76550382.48</c:v>
                </c:pt>
                <c:pt idx="5">
                  <c:v>274397351.8</c:v>
                </c:pt>
                <c:pt idx="6">
                  <c:v>800724866.53</c:v>
                </c:pt>
                <c:pt idx="7">
                  <c:v>537849280.34</c:v>
                </c:pt>
                <c:pt idx="8">
                  <c:v>200321962.93</c:v>
                </c:pt>
                <c:pt idx="9">
                  <c:v>156936498.44</c:v>
                </c:pt>
                <c:pt idx="10">
                  <c:v>227891773.8</c:v>
                </c:pt>
                <c:pt idx="11">
                  <c:v>312883606.47</c:v>
                </c:pt>
                <c:pt idx="12">
                  <c:v>366855976.8</c:v>
                </c:pt>
                <c:pt idx="13">
                  <c:v>493620579.15</c:v>
                </c:pt>
                <c:pt idx="14">
                  <c:v>171340667.4</c:v>
                </c:pt>
                <c:pt idx="15">
                  <c:v>95112816.35</c:v>
                </c:pt>
                <c:pt idx="16">
                  <c:v>526839778.94</c:v>
                </c:pt>
                <c:pt idx="17">
                  <c:v>179337834.57</c:v>
                </c:pt>
                <c:pt idx="18">
                  <c:v>234798149.08</c:v>
                </c:pt>
                <c:pt idx="19">
                  <c:v>233743013.07</c:v>
                </c:pt>
                <c:pt idx="20">
                  <c:v>204385489.57</c:v>
                </c:pt>
                <c:pt idx="21">
                  <c:v>114855108.9</c:v>
                </c:pt>
              </c:numCache>
            </c:numRef>
          </c:val>
        </c:ser>
        <c:ser>
          <c:idx val="3"/>
          <c:order val="3"/>
          <c:tx>
            <c:strRef>
              <c:f>METADATA!$P$4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METADATA!$B$5:$B$26</c:f>
              <c:strCache>
                <c:ptCount val="22"/>
                <c:pt idx="0">
                  <c:v>Alta Verapaz</c:v>
                </c:pt>
                <c:pt idx="1">
                  <c:v>Baja Verapaz</c:v>
                </c:pt>
                <c:pt idx="2">
                  <c:v>Chimaltenango</c:v>
                </c:pt>
                <c:pt idx="3">
                  <c:v>Chiquimula</c:v>
                </c:pt>
                <c:pt idx="4">
                  <c:v>El Progreso</c:v>
                </c:pt>
                <c:pt idx="5">
                  <c:v>Escuintla</c:v>
                </c:pt>
                <c:pt idx="6">
                  <c:v>Guatemala</c:v>
                </c:pt>
                <c:pt idx="7">
                  <c:v>Huehuetenango</c:v>
                </c:pt>
                <c:pt idx="8">
                  <c:v>Izabal</c:v>
                </c:pt>
                <c:pt idx="9">
                  <c:v>Jalapa</c:v>
                </c:pt>
                <c:pt idx="10">
                  <c:v>Jutiapa</c:v>
                </c:pt>
                <c:pt idx="11">
                  <c:v>Petén</c:v>
                </c:pt>
                <c:pt idx="12">
                  <c:v>Quetzaltenango</c:v>
                </c:pt>
                <c:pt idx="13">
                  <c:v>Quiché</c:v>
                </c:pt>
                <c:pt idx="14">
                  <c:v>Retalhuleu</c:v>
                </c:pt>
                <c:pt idx="15">
                  <c:v>Sacatepéquez</c:v>
                </c:pt>
                <c:pt idx="16">
                  <c:v>San Marcos</c:v>
                </c:pt>
                <c:pt idx="17">
                  <c:v>Santa Rosa</c:v>
                </c:pt>
                <c:pt idx="18">
                  <c:v>Sololá</c:v>
                </c:pt>
                <c:pt idx="19">
                  <c:v>Suchitepéquez</c:v>
                </c:pt>
                <c:pt idx="20">
                  <c:v>Totonicapán</c:v>
                </c:pt>
                <c:pt idx="21">
                  <c:v>Zacapa</c:v>
                </c:pt>
              </c:strCache>
            </c:strRef>
          </c:cat>
          <c:val>
            <c:numRef>
              <c:f>METADATA!$P$5:$P$26</c:f>
              <c:numCache>
                <c:formatCode>_-[$Q-100A]* #,##0.00_-;\-[$Q-100A]* #,##0.00_-;_-[$Q-100A]* "-"??_-;_-@_-</c:formatCode>
                <c:ptCount val="22"/>
                <c:pt idx="0">
                  <c:v>572075506.93</c:v>
                </c:pt>
                <c:pt idx="1">
                  <c:v>181508017</c:v>
                </c:pt>
                <c:pt idx="2">
                  <c:v>275038676.92</c:v>
                </c:pt>
                <c:pt idx="3">
                  <c:v>225954413.65</c:v>
                </c:pt>
                <c:pt idx="4">
                  <c:v>84891503.62</c:v>
                </c:pt>
                <c:pt idx="5">
                  <c:v>305262911.93</c:v>
                </c:pt>
                <c:pt idx="6">
                  <c:v>867415490.19</c:v>
                </c:pt>
                <c:pt idx="7">
                  <c:v>596166794.13</c:v>
                </c:pt>
                <c:pt idx="8">
                  <c:v>224600690.61</c:v>
                </c:pt>
                <c:pt idx="9">
                  <c:v>173428461.9</c:v>
                </c:pt>
                <c:pt idx="10">
                  <c:v>252749203.12</c:v>
                </c:pt>
                <c:pt idx="11">
                  <c:v>350441091.93</c:v>
                </c:pt>
                <c:pt idx="12">
                  <c:v>410993038.15</c:v>
                </c:pt>
                <c:pt idx="13">
                  <c:v>553161511.3</c:v>
                </c:pt>
                <c:pt idx="14">
                  <c:v>192432107.74</c:v>
                </c:pt>
                <c:pt idx="15">
                  <c:v>105746516.66</c:v>
                </c:pt>
                <c:pt idx="16">
                  <c:v>588442350.41</c:v>
                </c:pt>
                <c:pt idx="17">
                  <c:v>200046136.24</c:v>
                </c:pt>
                <c:pt idx="18">
                  <c:v>261155535.87</c:v>
                </c:pt>
                <c:pt idx="19">
                  <c:v>261057308.43</c:v>
                </c:pt>
                <c:pt idx="20">
                  <c:v>225850042.24</c:v>
                </c:pt>
                <c:pt idx="21">
                  <c:v>127183040.56</c:v>
                </c:pt>
              </c:numCache>
            </c:numRef>
          </c:val>
        </c:ser>
        <c:ser>
          <c:idx val="4"/>
          <c:order val="4"/>
          <c:tx>
            <c:strRef>
              <c:f>METADATA!$Q$4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METADATA!$B$5:$B$26</c:f>
              <c:strCache>
                <c:ptCount val="22"/>
                <c:pt idx="0">
                  <c:v>Alta Verapaz</c:v>
                </c:pt>
                <c:pt idx="1">
                  <c:v>Baja Verapaz</c:v>
                </c:pt>
                <c:pt idx="2">
                  <c:v>Chimaltenango</c:v>
                </c:pt>
                <c:pt idx="3">
                  <c:v>Chiquimula</c:v>
                </c:pt>
                <c:pt idx="4">
                  <c:v>El Progreso</c:v>
                </c:pt>
                <c:pt idx="5">
                  <c:v>Escuintla</c:v>
                </c:pt>
                <c:pt idx="6">
                  <c:v>Guatemala</c:v>
                </c:pt>
                <c:pt idx="7">
                  <c:v>Huehuetenango</c:v>
                </c:pt>
                <c:pt idx="8">
                  <c:v>Izabal</c:v>
                </c:pt>
                <c:pt idx="9">
                  <c:v>Jalapa</c:v>
                </c:pt>
                <c:pt idx="10">
                  <c:v>Jutiapa</c:v>
                </c:pt>
                <c:pt idx="11">
                  <c:v>Petén</c:v>
                </c:pt>
                <c:pt idx="12">
                  <c:v>Quetzaltenango</c:v>
                </c:pt>
                <c:pt idx="13">
                  <c:v>Quiché</c:v>
                </c:pt>
                <c:pt idx="14">
                  <c:v>Retalhuleu</c:v>
                </c:pt>
                <c:pt idx="15">
                  <c:v>Sacatepéquez</c:v>
                </c:pt>
                <c:pt idx="16">
                  <c:v>San Marcos</c:v>
                </c:pt>
                <c:pt idx="17">
                  <c:v>Santa Rosa</c:v>
                </c:pt>
                <c:pt idx="18">
                  <c:v>Sololá</c:v>
                </c:pt>
                <c:pt idx="19">
                  <c:v>Suchitepéquez</c:v>
                </c:pt>
                <c:pt idx="20">
                  <c:v>Totonicapán</c:v>
                </c:pt>
                <c:pt idx="21">
                  <c:v>Zacapa</c:v>
                </c:pt>
              </c:strCache>
            </c:strRef>
          </c:cat>
          <c:val>
            <c:numRef>
              <c:f>METADATA!$Q$5:$Q$26</c:f>
              <c:numCache>
                <c:formatCode>_-[$Q-100A]* #,##0.00_-;\-[$Q-100A]* #,##0.00_-;_-[$Q-100A]* "-"??_-;_-@_-</c:formatCode>
                <c:ptCount val="22"/>
                <c:pt idx="0">
                  <c:v>592123344.84</c:v>
                </c:pt>
                <c:pt idx="1">
                  <c:v>180623727.01</c:v>
                </c:pt>
                <c:pt idx="2">
                  <c:v>280447993.79</c:v>
                </c:pt>
                <c:pt idx="3">
                  <c:v>227389496.04</c:v>
                </c:pt>
                <c:pt idx="4">
                  <c:v>85441774.76</c:v>
                </c:pt>
                <c:pt idx="5">
                  <c:v>307973670.51</c:v>
                </c:pt>
                <c:pt idx="6">
                  <c:v>874157361.64</c:v>
                </c:pt>
                <c:pt idx="7">
                  <c:v>604282182.07</c:v>
                </c:pt>
                <c:pt idx="8">
                  <c:v>228723722.47</c:v>
                </c:pt>
                <c:pt idx="9">
                  <c:v>177218984.12</c:v>
                </c:pt>
                <c:pt idx="10">
                  <c:v>255506485.22</c:v>
                </c:pt>
                <c:pt idx="11">
                  <c:v>357471685.88</c:v>
                </c:pt>
                <c:pt idx="12">
                  <c:v>413318050.16</c:v>
                </c:pt>
                <c:pt idx="13">
                  <c:v>569331504.4</c:v>
                </c:pt>
                <c:pt idx="14">
                  <c:v>196060476.53</c:v>
                </c:pt>
                <c:pt idx="15">
                  <c:v>106585749.17</c:v>
                </c:pt>
                <c:pt idx="16">
                  <c:v>600945517.89</c:v>
                </c:pt>
                <c:pt idx="17">
                  <c:v>203192037.33</c:v>
                </c:pt>
                <c:pt idx="18">
                  <c:v>266533495.03</c:v>
                </c:pt>
                <c:pt idx="19">
                  <c:v>264677710.23</c:v>
                </c:pt>
                <c:pt idx="20">
                  <c:v>232471923.82</c:v>
                </c:pt>
                <c:pt idx="21">
                  <c:v>126859086.98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480223"/>
        <c:axId val="249082175"/>
      </c:barChart>
      <c:catAx>
        <c:axId val="69480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9082175"/>
        <c:crosses val="autoZero"/>
        <c:auto val="1"/>
        <c:lblAlgn val="ctr"/>
        <c:lblOffset val="100"/>
        <c:noMultiLvlLbl val="0"/>
      </c:catAx>
      <c:valAx>
        <c:axId val="249082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480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MX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MX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MX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Presupuesto devengado por el programa de educación escolar de primaria, de unidades ejecutoras departamentales, por tipo de gasto (año 2012 = 100%) 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[1]tabla!$L$11</c:f>
              <c:strCache>
                <c:ptCount val="1"/>
                <c:pt idx="0">
                  <c:v>GASTOS DE FUNCIONAMIENTO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[1]tabla!$I$12:$I$16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[1]tabla!$L$12:$L$16</c:f>
              <c:numCache>
                <c:formatCode>General</c:formatCode>
                <c:ptCount val="5"/>
                <c:pt idx="0">
                  <c:v>100</c:v>
                </c:pt>
                <c:pt idx="1">
                  <c:v>107.900401130697</c:v>
                </c:pt>
                <c:pt idx="2">
                  <c:v>119.89653925117</c:v>
                </c:pt>
                <c:pt idx="3">
                  <c:v>133.310191015712</c:v>
                </c:pt>
                <c:pt idx="4">
                  <c:v>135.503143745275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[1]tabla!$M$11</c:f>
              <c:strCache>
                <c:ptCount val="1"/>
                <c:pt idx="0">
                  <c:v>INVERSIÓN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[1]tabla!$I$12:$I$16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[1]tabla!$M$12:$M$16</c:f>
              <c:numCache>
                <c:formatCode>General</c:formatCode>
                <c:ptCount val="5"/>
                <c:pt idx="0">
                  <c:v>100</c:v>
                </c:pt>
                <c:pt idx="1">
                  <c:v>440.971458663465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5662720"/>
        <c:axId val="1082422560"/>
      </c:lineChart>
      <c:catAx>
        <c:axId val="123566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82422560"/>
        <c:crosses val="autoZero"/>
        <c:auto val="1"/>
        <c:lblAlgn val="ctr"/>
        <c:lblOffset val="100"/>
        <c:noMultiLvlLbl val="0"/>
      </c:catAx>
      <c:valAx>
        <c:axId val="108242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3566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MX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MX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523875</xdr:colOff>
      <xdr:row>2</xdr:row>
      <xdr:rowOff>28574</xdr:rowOff>
    </xdr:from>
    <xdr:to>
      <xdr:col>17</xdr:col>
      <xdr:colOff>352425</xdr:colOff>
      <xdr:row>22</xdr:row>
      <xdr:rowOff>57149</xdr:rowOff>
    </xdr:to>
    <xdr:graphicFrame>
      <xdr:nvGraphicFramePr>
        <xdr:cNvPr id="4" name="Chart 3"/>
        <xdr:cNvGraphicFramePr/>
      </xdr:nvGraphicFramePr>
      <xdr:xfrm>
        <a:off x="4457700" y="408940"/>
        <a:ext cx="5829300" cy="38385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285750</xdr:colOff>
      <xdr:row>47</xdr:row>
      <xdr:rowOff>114300</xdr:rowOff>
    </xdr:from>
    <xdr:to>
      <xdr:col>17</xdr:col>
      <xdr:colOff>123825</xdr:colOff>
      <xdr:row>65</xdr:row>
      <xdr:rowOff>57150</xdr:rowOff>
    </xdr:to>
    <xdr:graphicFrame>
      <xdr:nvGraphicFramePr>
        <xdr:cNvPr id="5" name="Chart 4"/>
        <xdr:cNvGraphicFramePr/>
      </xdr:nvGraphicFramePr>
      <xdr:xfrm>
        <a:off x="4219575" y="9067800"/>
        <a:ext cx="5838825" cy="3371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23</xdr:row>
      <xdr:rowOff>76200</xdr:rowOff>
    </xdr:from>
    <xdr:to>
      <xdr:col>12</xdr:col>
      <xdr:colOff>276225</xdr:colOff>
      <xdr:row>46</xdr:row>
      <xdr:rowOff>133350</xdr:rowOff>
    </xdr:to>
    <xdr:graphicFrame>
      <xdr:nvGraphicFramePr>
        <xdr:cNvPr id="6" name="Chart 5"/>
        <xdr:cNvGraphicFramePr/>
      </xdr:nvGraphicFramePr>
      <xdr:xfrm>
        <a:off x="333375" y="4457700"/>
        <a:ext cx="6877050" cy="4438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485775</xdr:colOff>
      <xdr:row>23</xdr:row>
      <xdr:rowOff>76200</xdr:rowOff>
    </xdr:from>
    <xdr:to>
      <xdr:col>24</xdr:col>
      <xdr:colOff>161925</xdr:colOff>
      <xdr:row>46</xdr:row>
      <xdr:rowOff>123825</xdr:rowOff>
    </xdr:to>
    <xdr:graphicFrame>
      <xdr:nvGraphicFramePr>
        <xdr:cNvPr id="7" name="Chart 6"/>
        <xdr:cNvGraphicFramePr/>
      </xdr:nvGraphicFramePr>
      <xdr:xfrm>
        <a:off x="7419975" y="4457700"/>
        <a:ext cx="6877050" cy="44291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104775</xdr:colOff>
      <xdr:row>65</xdr:row>
      <xdr:rowOff>142874</xdr:rowOff>
    </xdr:from>
    <xdr:to>
      <xdr:col>12</xdr:col>
      <xdr:colOff>381000</xdr:colOff>
      <xdr:row>90</xdr:row>
      <xdr:rowOff>171449</xdr:rowOff>
    </xdr:to>
    <xdr:graphicFrame>
      <xdr:nvGraphicFramePr>
        <xdr:cNvPr id="8" name="Chart 7"/>
        <xdr:cNvGraphicFramePr/>
      </xdr:nvGraphicFramePr>
      <xdr:xfrm>
        <a:off x="438150" y="12524740"/>
        <a:ext cx="6877050" cy="4791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209549</xdr:colOff>
      <xdr:row>65</xdr:row>
      <xdr:rowOff>152399</xdr:rowOff>
    </xdr:from>
    <xdr:to>
      <xdr:col>24</xdr:col>
      <xdr:colOff>123824</xdr:colOff>
      <xdr:row>90</xdr:row>
      <xdr:rowOff>180974</xdr:rowOff>
    </xdr:to>
    <xdr:graphicFrame>
      <xdr:nvGraphicFramePr>
        <xdr:cNvPr id="9" name="Chart 8"/>
        <xdr:cNvGraphicFramePr/>
      </xdr:nvGraphicFramePr>
      <xdr:xfrm>
        <a:off x="8343265" y="12534265"/>
        <a:ext cx="5915025" cy="4791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Camilo\Documents\MINFIN\2.EDUCACION\Mineduc%202011%20a%202017%20Presupuest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a"/>
      <sheetName val="Datos"/>
      <sheetName val="Hoja2"/>
      <sheetName val="Hoja3"/>
    </sheetNames>
    <sheetDataSet>
      <sheetData sheetId="0">
        <row r="11">
          <cell r="L11" t="str">
            <v>GASTOS DE FUNCIONAMIENTO</v>
          </cell>
          <cell r="M11" t="str">
            <v>INVERSIÓN</v>
          </cell>
        </row>
        <row r="12">
          <cell r="I12">
            <v>2012</v>
          </cell>
        </row>
        <row r="12">
          <cell r="L12">
            <v>100</v>
          </cell>
          <cell r="M12">
            <v>100</v>
          </cell>
        </row>
        <row r="13">
          <cell r="I13">
            <v>2013</v>
          </cell>
        </row>
        <row r="13">
          <cell r="L13">
            <v>107.900401130697</v>
          </cell>
          <cell r="M13">
            <v>440.971458663465</v>
          </cell>
        </row>
        <row r="14">
          <cell r="I14">
            <v>2014</v>
          </cell>
        </row>
        <row r="14">
          <cell r="L14">
            <v>119.89653925117</v>
          </cell>
          <cell r="M14">
            <v>0</v>
          </cell>
        </row>
        <row r="15">
          <cell r="I15">
            <v>2015</v>
          </cell>
        </row>
        <row r="15">
          <cell r="L15">
            <v>133.310191015712</v>
          </cell>
          <cell r="M15">
            <v>0</v>
          </cell>
        </row>
        <row r="16">
          <cell r="I16">
            <v>2016</v>
          </cell>
        </row>
        <row r="16">
          <cell r="L16">
            <v>135.503143745275</v>
          </cell>
          <cell r="M16">
            <v>0</v>
          </cell>
        </row>
      </sheetData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\Users\Camilo\Documents\MINFIN\2.EDUCACION\Tasa de cobertura primaria 2012_2016 Mineduc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\Users\Camilo\Documents\MINFIN\2.EDUCACION\Tasa de cobertura primaria 2012_2016 Mineduc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3034.3850563657" refreshedBy="Camilo" recordCount="220">
  <cacheSource type="worksheet">
    <worksheetSource ref="D4:H224" sheet="Numerador" r:id="rId2"/>
  </cacheSource>
  <cacheFields count="5">
    <cacheField name="Depto" numFmtId="0">
      <sharedItems count="22">
        <s v="Guatemala"/>
        <s v="El Progreso"/>
        <s v="Sacatepéquez"/>
        <s v="Chimaltenango"/>
        <s v="Escuintla"/>
        <s v="Santa Rosa"/>
        <s v="Sololá"/>
        <s v="Totonicapán"/>
        <s v="Quetzaltenango"/>
        <s v="Suchitepéquez"/>
        <s v="Retalhuleu"/>
        <s v="San Marcos"/>
        <s v="Huehuetenango"/>
        <s v="Quiché"/>
        <s v="Baja Verapaz"/>
        <s v="Alta Verapaz"/>
        <s v="Petén"/>
        <s v="Izabal"/>
        <s v="Zacapa"/>
        <s v="Chiquimula"/>
        <s v="Jalapa"/>
        <s v="Jutiapa"/>
      </sharedItems>
    </cacheField>
    <cacheField name="Cantidad" numFmtId="3"/>
    <cacheField name="Sexo" numFmtId="0">
      <sharedItems count="2">
        <s v="M"/>
        <s v="F"/>
      </sharedItems>
    </cacheField>
    <cacheField name="Tipo" numFmtId="0"/>
    <cacheField name="Año" numFmtId="0">
      <sharedItems containsSemiMixedTypes="0" containsString="0" containsNumber="1" containsInteger="1" minValue="2012" maxValue="2016" count="5">
        <n v="2016"/>
        <n v="2015"/>
        <n v="2014"/>
        <n v="2013"/>
        <n v="2012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3033.7261800926" refreshedBy="Camilo" recordCount="220">
  <cacheSource type="worksheet">
    <worksheetSource ref="C4:G224" sheet="Denominador" r:id="rId2"/>
  </cacheSource>
  <cacheFields count="5">
    <cacheField name="Depto" numFmtId="0">
      <sharedItems count="22">
        <s v="Guatemala"/>
        <s v="El Progreso"/>
        <s v="Sacatepéquez"/>
        <s v="Chimaltenango"/>
        <s v="Escuintla"/>
        <s v="Santa Rosa"/>
        <s v="Sololá"/>
        <s v="Totonicapán"/>
        <s v="Quetzaltenango"/>
        <s v="Suchitepéquez"/>
        <s v="Retalhuleu"/>
        <s v="San Marcos"/>
        <s v="Huehuetenango"/>
        <s v="Quiché"/>
        <s v="Baja Verapaz"/>
        <s v="Alta Verapaz"/>
        <s v="Petén"/>
        <s v="Izabal"/>
        <s v="Zacapa"/>
        <s v="Chiquimula"/>
        <s v="Jalapa"/>
        <s v="Jutiapa"/>
      </sharedItems>
    </cacheField>
    <cacheField name="Cantidad" numFmtId="3"/>
    <cacheField name="Sexo" numFmtId="0">
      <sharedItems count="2">
        <s v="M"/>
        <s v="F"/>
      </sharedItems>
    </cacheField>
    <cacheField name="Tipo" numFmtId="0"/>
    <cacheField name="Año" numFmtId="0">
      <sharedItems containsSemiMixedTypes="0" containsString="0" containsNumber="1" containsInteger="1" minValue="2012" maxValue="2016" count="5">
        <n v="2016"/>
        <n v="2015"/>
        <n v="2014"/>
        <n v="2013"/>
        <n v="201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0">
  <r>
    <x v="0"/>
    <n v="193464"/>
    <x v="0"/>
    <s v="Inscritos"/>
    <x v="0"/>
  </r>
  <r>
    <x v="1"/>
    <n v="10856"/>
    <x v="0"/>
    <s v="Inscritos"/>
    <x v="0"/>
  </r>
  <r>
    <x v="2"/>
    <n v="20929"/>
    <x v="0"/>
    <s v="Inscritos"/>
    <x v="0"/>
  </r>
  <r>
    <x v="3"/>
    <n v="41893"/>
    <x v="0"/>
    <s v="Inscritos"/>
    <x v="0"/>
  </r>
  <r>
    <x v="4"/>
    <n v="46670"/>
    <x v="0"/>
    <s v="Inscritos"/>
    <x v="0"/>
  </r>
  <r>
    <x v="5"/>
    <n v="24955"/>
    <x v="0"/>
    <s v="Inscritos"/>
    <x v="0"/>
  </r>
  <r>
    <x v="6"/>
    <n v="28649"/>
    <x v="0"/>
    <s v="Inscritos"/>
    <x v="0"/>
  </r>
  <r>
    <x v="7"/>
    <n v="29985"/>
    <x v="0"/>
    <s v="Inscritos"/>
    <x v="0"/>
  </r>
  <r>
    <x v="8"/>
    <n v="52953"/>
    <x v="0"/>
    <s v="Inscritos"/>
    <x v="0"/>
  </r>
  <r>
    <x v="9"/>
    <n v="37016"/>
    <x v="0"/>
    <s v="Inscritos"/>
    <x v="0"/>
  </r>
  <r>
    <x v="10"/>
    <n v="21440"/>
    <x v="0"/>
    <s v="Inscritos"/>
    <x v="0"/>
  </r>
  <r>
    <x v="11"/>
    <n v="75601"/>
    <x v="0"/>
    <s v="Inscritos"/>
    <x v="0"/>
  </r>
  <r>
    <x v="12"/>
    <n v="85323"/>
    <x v="0"/>
    <s v="Inscritos"/>
    <x v="0"/>
  </r>
  <r>
    <x v="13"/>
    <n v="70779"/>
    <x v="0"/>
    <s v="Inscritos"/>
    <x v="0"/>
  </r>
  <r>
    <x v="14"/>
    <n v="19239"/>
    <x v="0"/>
    <s v="Inscritos"/>
    <x v="0"/>
  </r>
  <r>
    <x v="15"/>
    <n v="84117"/>
    <x v="0"/>
    <s v="Inscritos"/>
    <x v="0"/>
  </r>
  <r>
    <x v="16"/>
    <n v="38437"/>
    <x v="0"/>
    <s v="Inscritos"/>
    <x v="0"/>
  </r>
  <r>
    <x v="17"/>
    <n v="27096"/>
    <x v="0"/>
    <s v="Inscritos"/>
    <x v="0"/>
  </r>
  <r>
    <x v="18"/>
    <n v="15531"/>
    <x v="0"/>
    <s v="Inscritos"/>
    <x v="0"/>
  </r>
  <r>
    <x v="19"/>
    <n v="27583"/>
    <x v="0"/>
    <s v="Inscritos"/>
    <x v="0"/>
  </r>
  <r>
    <x v="20"/>
    <n v="23446"/>
    <x v="0"/>
    <s v="Inscritos"/>
    <x v="0"/>
  </r>
  <r>
    <x v="21"/>
    <n v="31141"/>
    <x v="0"/>
    <s v="Inscritos"/>
    <x v="0"/>
  </r>
  <r>
    <x v="0"/>
    <n v="187052"/>
    <x v="1"/>
    <s v="Inscritos"/>
    <x v="0"/>
  </r>
  <r>
    <x v="1"/>
    <n v="10532"/>
    <x v="1"/>
    <s v="Inscritos"/>
    <x v="0"/>
  </r>
  <r>
    <x v="2"/>
    <n v="20052"/>
    <x v="1"/>
    <s v="Inscritos"/>
    <x v="0"/>
  </r>
  <r>
    <x v="3"/>
    <n v="40578"/>
    <x v="1"/>
    <s v="Inscritos"/>
    <x v="0"/>
  </r>
  <r>
    <x v="4"/>
    <n v="44020"/>
    <x v="1"/>
    <s v="Inscritos"/>
    <x v="0"/>
  </r>
  <r>
    <x v="5"/>
    <n v="24028"/>
    <x v="1"/>
    <s v="Inscritos"/>
    <x v="0"/>
  </r>
  <r>
    <x v="6"/>
    <n v="27361"/>
    <x v="1"/>
    <s v="Inscritos"/>
    <x v="0"/>
  </r>
  <r>
    <x v="7"/>
    <n v="28827"/>
    <x v="1"/>
    <s v="Inscritos"/>
    <x v="0"/>
  </r>
  <r>
    <x v="8"/>
    <n v="50693"/>
    <x v="1"/>
    <s v="Inscritos"/>
    <x v="0"/>
  </r>
  <r>
    <x v="9"/>
    <n v="34867"/>
    <x v="1"/>
    <s v="Inscritos"/>
    <x v="0"/>
  </r>
  <r>
    <x v="10"/>
    <n v="20420"/>
    <x v="1"/>
    <s v="Inscritos"/>
    <x v="0"/>
  </r>
  <r>
    <x v="11"/>
    <n v="72879"/>
    <x v="1"/>
    <s v="Inscritos"/>
    <x v="0"/>
  </r>
  <r>
    <x v="12"/>
    <n v="81566"/>
    <x v="1"/>
    <s v="Inscritos"/>
    <x v="0"/>
  </r>
  <r>
    <x v="13"/>
    <n v="67626"/>
    <x v="1"/>
    <s v="Inscritos"/>
    <x v="0"/>
  </r>
  <r>
    <x v="14"/>
    <n v="18433"/>
    <x v="1"/>
    <s v="Inscritos"/>
    <x v="0"/>
  </r>
  <r>
    <x v="15"/>
    <n v="79643"/>
    <x v="1"/>
    <s v="Inscritos"/>
    <x v="0"/>
  </r>
  <r>
    <x v="16"/>
    <n v="36920"/>
    <x v="1"/>
    <s v="Inscritos"/>
    <x v="0"/>
  </r>
  <r>
    <x v="17"/>
    <n v="25921"/>
    <x v="1"/>
    <s v="Inscritos"/>
    <x v="0"/>
  </r>
  <r>
    <x v="18"/>
    <n v="14627"/>
    <x v="1"/>
    <s v="Inscritos"/>
    <x v="0"/>
  </r>
  <r>
    <x v="19"/>
    <n v="26588"/>
    <x v="1"/>
    <s v="Inscritos"/>
    <x v="0"/>
  </r>
  <r>
    <x v="20"/>
    <n v="22266"/>
    <x v="1"/>
    <s v="Inscritos"/>
    <x v="0"/>
  </r>
  <r>
    <x v="21"/>
    <n v="29721"/>
    <x v="1"/>
    <s v="Inscritos"/>
    <x v="0"/>
  </r>
  <r>
    <x v="0"/>
    <n v="192638"/>
    <x v="0"/>
    <s v="Inscritos"/>
    <x v="1"/>
  </r>
  <r>
    <x v="1"/>
    <n v="10977"/>
    <x v="0"/>
    <s v="Inscritos"/>
    <x v="1"/>
  </r>
  <r>
    <x v="2"/>
    <n v="20890"/>
    <x v="0"/>
    <s v="Inscritos"/>
    <x v="1"/>
  </r>
  <r>
    <x v="3"/>
    <n v="42309"/>
    <x v="0"/>
    <s v="Inscritos"/>
    <x v="1"/>
  </r>
  <r>
    <x v="4"/>
    <n v="46541"/>
    <x v="0"/>
    <s v="Inscritos"/>
    <x v="1"/>
  </r>
  <r>
    <x v="5"/>
    <n v="25310"/>
    <x v="0"/>
    <s v="Inscritos"/>
    <x v="1"/>
  </r>
  <r>
    <x v="6"/>
    <n v="29313"/>
    <x v="0"/>
    <s v="Inscritos"/>
    <x v="1"/>
  </r>
  <r>
    <x v="7"/>
    <n v="30995"/>
    <x v="0"/>
    <s v="Inscritos"/>
    <x v="1"/>
  </r>
  <r>
    <x v="8"/>
    <n v="54713"/>
    <x v="0"/>
    <s v="Inscritos"/>
    <x v="1"/>
  </r>
  <r>
    <x v="9"/>
    <n v="37574"/>
    <x v="0"/>
    <s v="Inscritos"/>
    <x v="1"/>
  </r>
  <r>
    <x v="10"/>
    <n v="21835"/>
    <x v="0"/>
    <s v="Inscritos"/>
    <x v="1"/>
  </r>
  <r>
    <x v="11"/>
    <n v="77599"/>
    <x v="0"/>
    <s v="Inscritos"/>
    <x v="1"/>
  </r>
  <r>
    <x v="12"/>
    <n v="87662"/>
    <x v="0"/>
    <s v="Inscritos"/>
    <x v="1"/>
  </r>
  <r>
    <x v="13"/>
    <n v="72493"/>
    <x v="0"/>
    <s v="Inscritos"/>
    <x v="1"/>
  </r>
  <r>
    <x v="14"/>
    <n v="19811"/>
    <x v="0"/>
    <s v="Inscritos"/>
    <x v="1"/>
  </r>
  <r>
    <x v="15"/>
    <n v="83851"/>
    <x v="0"/>
    <s v="Inscritos"/>
    <x v="1"/>
  </r>
  <r>
    <x v="16"/>
    <n v="38596"/>
    <x v="0"/>
    <s v="Inscritos"/>
    <x v="1"/>
  </r>
  <r>
    <x v="17"/>
    <n v="27670"/>
    <x v="0"/>
    <s v="Inscritos"/>
    <x v="1"/>
  </r>
  <r>
    <x v="18"/>
    <n v="15680"/>
    <x v="0"/>
    <s v="Inscritos"/>
    <x v="1"/>
  </r>
  <r>
    <x v="19"/>
    <n v="28456"/>
    <x v="0"/>
    <s v="Inscritos"/>
    <x v="1"/>
  </r>
  <r>
    <x v="20"/>
    <n v="24119"/>
    <x v="0"/>
    <s v="Inscritos"/>
    <x v="1"/>
  </r>
  <r>
    <x v="21"/>
    <n v="31658"/>
    <x v="0"/>
    <s v="Inscritos"/>
    <x v="1"/>
  </r>
  <r>
    <x v="0"/>
    <n v="185980"/>
    <x v="1"/>
    <s v="Inscritos"/>
    <x v="1"/>
  </r>
  <r>
    <x v="1"/>
    <n v="10714"/>
    <x v="1"/>
    <s v="Inscritos"/>
    <x v="1"/>
  </r>
  <r>
    <x v="2"/>
    <n v="20155"/>
    <x v="1"/>
    <s v="Inscritos"/>
    <x v="1"/>
  </r>
  <r>
    <x v="3"/>
    <n v="40948"/>
    <x v="1"/>
    <s v="Inscritos"/>
    <x v="1"/>
  </r>
  <r>
    <x v="4"/>
    <n v="43985"/>
    <x v="1"/>
    <s v="Inscritos"/>
    <x v="1"/>
  </r>
  <r>
    <x v="5"/>
    <n v="24316"/>
    <x v="1"/>
    <s v="Inscritos"/>
    <x v="1"/>
  </r>
  <r>
    <x v="6"/>
    <n v="28072"/>
    <x v="1"/>
    <s v="Inscritos"/>
    <x v="1"/>
  </r>
  <r>
    <x v="7"/>
    <n v="29802"/>
    <x v="1"/>
    <s v="Inscritos"/>
    <x v="1"/>
  </r>
  <r>
    <x v="8"/>
    <n v="52185"/>
    <x v="1"/>
    <s v="Inscritos"/>
    <x v="1"/>
  </r>
  <r>
    <x v="9"/>
    <n v="35136"/>
    <x v="1"/>
    <s v="Inscritos"/>
    <x v="1"/>
  </r>
  <r>
    <x v="10"/>
    <n v="20712"/>
    <x v="1"/>
    <s v="Inscritos"/>
    <x v="1"/>
  </r>
  <r>
    <x v="11"/>
    <n v="75134"/>
    <x v="1"/>
    <s v="Inscritos"/>
    <x v="1"/>
  </r>
  <r>
    <x v="12"/>
    <n v="83896"/>
    <x v="1"/>
    <s v="Inscritos"/>
    <x v="1"/>
  </r>
  <r>
    <x v="13"/>
    <n v="69632"/>
    <x v="1"/>
    <s v="Inscritos"/>
    <x v="1"/>
  </r>
  <r>
    <x v="14"/>
    <n v="19080"/>
    <x v="1"/>
    <s v="Inscritos"/>
    <x v="1"/>
  </r>
  <r>
    <x v="15"/>
    <n v="79737"/>
    <x v="1"/>
    <s v="Inscritos"/>
    <x v="1"/>
  </r>
  <r>
    <x v="16"/>
    <n v="37499"/>
    <x v="1"/>
    <s v="Inscritos"/>
    <x v="1"/>
  </r>
  <r>
    <x v="17"/>
    <n v="26526"/>
    <x v="1"/>
    <s v="Inscritos"/>
    <x v="1"/>
  </r>
  <r>
    <x v="18"/>
    <n v="14686"/>
    <x v="1"/>
    <s v="Inscritos"/>
    <x v="1"/>
  </r>
  <r>
    <x v="19"/>
    <n v="27340"/>
    <x v="1"/>
    <s v="Inscritos"/>
    <x v="1"/>
  </r>
  <r>
    <x v="20"/>
    <n v="22958"/>
    <x v="1"/>
    <s v="Inscritos"/>
    <x v="1"/>
  </r>
  <r>
    <x v="21"/>
    <n v="30346"/>
    <x v="1"/>
    <s v="Inscritos"/>
    <x v="1"/>
  </r>
  <r>
    <x v="0"/>
    <n v="191688"/>
    <x v="0"/>
    <s v="Inscritos"/>
    <x v="2"/>
  </r>
  <r>
    <x v="1"/>
    <n v="11178"/>
    <x v="0"/>
    <s v="Inscritos"/>
    <x v="2"/>
  </r>
  <r>
    <x v="2"/>
    <n v="20897"/>
    <x v="0"/>
    <s v="Inscritos"/>
    <x v="2"/>
  </r>
  <r>
    <x v="3"/>
    <n v="42588"/>
    <x v="0"/>
    <s v="Inscritos"/>
    <x v="2"/>
  </r>
  <r>
    <x v="4"/>
    <n v="46483"/>
    <x v="0"/>
    <s v="Inscritos"/>
    <x v="2"/>
  </r>
  <r>
    <x v="5"/>
    <n v="25463"/>
    <x v="0"/>
    <s v="Inscritos"/>
    <x v="2"/>
  </r>
  <r>
    <x v="6"/>
    <n v="29717"/>
    <x v="0"/>
    <s v="Inscritos"/>
    <x v="2"/>
  </r>
  <r>
    <x v="7"/>
    <n v="32047"/>
    <x v="0"/>
    <s v="Inscritos"/>
    <x v="2"/>
  </r>
  <r>
    <x v="8"/>
    <n v="56212"/>
    <x v="0"/>
    <s v="Inscritos"/>
    <x v="2"/>
  </r>
  <r>
    <x v="9"/>
    <n v="37881"/>
    <x v="0"/>
    <s v="Inscritos"/>
    <x v="2"/>
  </r>
  <r>
    <x v="10"/>
    <n v="22054"/>
    <x v="0"/>
    <s v="Inscritos"/>
    <x v="2"/>
  </r>
  <r>
    <x v="11"/>
    <n v="79277"/>
    <x v="0"/>
    <s v="Inscritos"/>
    <x v="2"/>
  </r>
  <r>
    <x v="12"/>
    <n v="88786"/>
    <x v="0"/>
    <s v="Inscritos"/>
    <x v="2"/>
  </r>
  <r>
    <x v="13"/>
    <n v="73132"/>
    <x v="0"/>
    <s v="Inscritos"/>
    <x v="2"/>
  </r>
  <r>
    <x v="14"/>
    <n v="19941"/>
    <x v="0"/>
    <s v="Inscritos"/>
    <x v="2"/>
  </r>
  <r>
    <x v="15"/>
    <n v="83437"/>
    <x v="0"/>
    <s v="Inscritos"/>
    <x v="2"/>
  </r>
  <r>
    <x v="16"/>
    <n v="38581"/>
    <x v="0"/>
    <s v="Inscritos"/>
    <x v="2"/>
  </r>
  <r>
    <x v="17"/>
    <n v="27991"/>
    <x v="0"/>
    <s v="Inscritos"/>
    <x v="2"/>
  </r>
  <r>
    <x v="18"/>
    <n v="15986"/>
    <x v="0"/>
    <s v="Inscritos"/>
    <x v="2"/>
  </r>
  <r>
    <x v="19"/>
    <n v="28318"/>
    <x v="0"/>
    <s v="Inscritos"/>
    <x v="2"/>
  </r>
  <r>
    <x v="20"/>
    <n v="24130"/>
    <x v="0"/>
    <s v="Inscritos"/>
    <x v="2"/>
  </r>
  <r>
    <x v="21"/>
    <n v="32465"/>
    <x v="0"/>
    <s v="Inscritos"/>
    <x v="2"/>
  </r>
  <r>
    <x v="0"/>
    <n v="184806"/>
    <x v="1"/>
    <s v="Inscritos"/>
    <x v="2"/>
  </r>
  <r>
    <x v="1"/>
    <n v="10728"/>
    <x v="1"/>
    <s v="Inscritos"/>
    <x v="2"/>
  </r>
  <r>
    <x v="2"/>
    <n v="19951"/>
    <x v="1"/>
    <s v="Inscritos"/>
    <x v="2"/>
  </r>
  <r>
    <x v="3"/>
    <n v="41310"/>
    <x v="1"/>
    <s v="Inscritos"/>
    <x v="2"/>
  </r>
  <r>
    <x v="4"/>
    <n v="43877"/>
    <x v="1"/>
    <s v="Inscritos"/>
    <x v="2"/>
  </r>
  <r>
    <x v="5"/>
    <n v="24400"/>
    <x v="1"/>
    <s v="Inscritos"/>
    <x v="2"/>
  </r>
  <r>
    <x v="6"/>
    <n v="28731"/>
    <x v="1"/>
    <s v="Inscritos"/>
    <x v="2"/>
  </r>
  <r>
    <x v="7"/>
    <n v="30726"/>
    <x v="1"/>
    <s v="Inscritos"/>
    <x v="2"/>
  </r>
  <r>
    <x v="8"/>
    <n v="53744"/>
    <x v="1"/>
    <s v="Inscritos"/>
    <x v="2"/>
  </r>
  <r>
    <x v="9"/>
    <n v="35504"/>
    <x v="1"/>
    <s v="Inscritos"/>
    <x v="2"/>
  </r>
  <r>
    <x v="10"/>
    <n v="20798"/>
    <x v="1"/>
    <s v="Inscritos"/>
    <x v="2"/>
  </r>
  <r>
    <x v="11"/>
    <n v="76853"/>
    <x v="1"/>
    <s v="Inscritos"/>
    <x v="2"/>
  </r>
  <r>
    <x v="12"/>
    <n v="84791"/>
    <x v="1"/>
    <s v="Inscritos"/>
    <x v="2"/>
  </r>
  <r>
    <x v="13"/>
    <n v="70304"/>
    <x v="1"/>
    <s v="Inscritos"/>
    <x v="2"/>
  </r>
  <r>
    <x v="14"/>
    <n v="19213"/>
    <x v="1"/>
    <s v="Inscritos"/>
    <x v="2"/>
  </r>
  <r>
    <x v="15"/>
    <n v="79695"/>
    <x v="1"/>
    <s v="Inscritos"/>
    <x v="2"/>
  </r>
  <r>
    <x v="16"/>
    <n v="37595"/>
    <x v="1"/>
    <s v="Inscritos"/>
    <x v="2"/>
  </r>
  <r>
    <x v="17"/>
    <n v="27031"/>
    <x v="1"/>
    <s v="Inscritos"/>
    <x v="2"/>
  </r>
  <r>
    <x v="18"/>
    <n v="15119"/>
    <x v="1"/>
    <s v="Inscritos"/>
    <x v="2"/>
  </r>
  <r>
    <x v="19"/>
    <n v="27358"/>
    <x v="1"/>
    <s v="Inscritos"/>
    <x v="2"/>
  </r>
  <r>
    <x v="20"/>
    <n v="23013"/>
    <x v="1"/>
    <s v="Inscritos"/>
    <x v="2"/>
  </r>
  <r>
    <x v="21"/>
    <n v="31371"/>
    <x v="1"/>
    <s v="Inscritos"/>
    <x v="2"/>
  </r>
  <r>
    <x v="0"/>
    <n v="193253"/>
    <x v="0"/>
    <s v="Inscritos"/>
    <x v="3"/>
  </r>
  <r>
    <x v="1"/>
    <n v="11515"/>
    <x v="0"/>
    <s v="Inscritos"/>
    <x v="3"/>
  </r>
  <r>
    <x v="2"/>
    <n v="21072"/>
    <x v="0"/>
    <s v="Inscritos"/>
    <x v="3"/>
  </r>
  <r>
    <x v="3"/>
    <n v="43313"/>
    <x v="0"/>
    <s v="Inscritos"/>
    <x v="3"/>
  </r>
  <r>
    <x v="4"/>
    <n v="47512"/>
    <x v="0"/>
    <s v="Inscritos"/>
    <x v="3"/>
  </r>
  <r>
    <x v="5"/>
    <n v="26313"/>
    <x v="0"/>
    <s v="Inscritos"/>
    <x v="3"/>
  </r>
  <r>
    <x v="6"/>
    <n v="30150"/>
    <x v="0"/>
    <s v="Inscritos"/>
    <x v="3"/>
  </r>
  <r>
    <x v="7"/>
    <n v="32843"/>
    <x v="0"/>
    <s v="Inscritos"/>
    <x v="3"/>
  </r>
  <r>
    <x v="8"/>
    <n v="58079"/>
    <x v="0"/>
    <s v="Inscritos"/>
    <x v="3"/>
  </r>
  <r>
    <x v="9"/>
    <n v="38987"/>
    <x v="0"/>
    <s v="Inscritos"/>
    <x v="3"/>
  </r>
  <r>
    <x v="10"/>
    <n v="22810"/>
    <x v="0"/>
    <s v="Inscritos"/>
    <x v="3"/>
  </r>
  <r>
    <x v="11"/>
    <n v="81035"/>
    <x v="0"/>
    <s v="Inscritos"/>
    <x v="3"/>
  </r>
  <r>
    <x v="12"/>
    <n v="90458"/>
    <x v="0"/>
    <s v="Inscritos"/>
    <x v="3"/>
  </r>
  <r>
    <x v="13"/>
    <n v="75049"/>
    <x v="0"/>
    <s v="Inscritos"/>
    <x v="3"/>
  </r>
  <r>
    <x v="14"/>
    <n v="20306"/>
    <x v="0"/>
    <s v="Inscritos"/>
    <x v="3"/>
  </r>
  <r>
    <x v="15"/>
    <n v="84385"/>
    <x v="0"/>
    <s v="Inscritos"/>
    <x v="3"/>
  </r>
  <r>
    <x v="16"/>
    <n v="40019"/>
    <x v="0"/>
    <s v="Inscritos"/>
    <x v="3"/>
  </r>
  <r>
    <x v="17"/>
    <n v="29570"/>
    <x v="0"/>
    <s v="Inscritos"/>
    <x v="3"/>
  </r>
  <r>
    <x v="18"/>
    <n v="16638"/>
    <x v="0"/>
    <s v="Inscritos"/>
    <x v="3"/>
  </r>
  <r>
    <x v="19"/>
    <n v="28632"/>
    <x v="0"/>
    <s v="Inscritos"/>
    <x v="3"/>
  </r>
  <r>
    <x v="20"/>
    <n v="24803"/>
    <x v="0"/>
    <s v="Inscritos"/>
    <x v="3"/>
  </r>
  <r>
    <x v="21"/>
    <n v="33729"/>
    <x v="0"/>
    <s v="Inscritos"/>
    <x v="3"/>
  </r>
  <r>
    <x v="0"/>
    <n v="186740"/>
    <x v="1"/>
    <s v="Inscritos"/>
    <x v="3"/>
  </r>
  <r>
    <x v="1"/>
    <n v="10988"/>
    <x v="1"/>
    <s v="Inscritos"/>
    <x v="3"/>
  </r>
  <r>
    <x v="2"/>
    <n v="20176"/>
    <x v="1"/>
    <s v="Inscritos"/>
    <x v="3"/>
  </r>
  <r>
    <x v="3"/>
    <n v="42167"/>
    <x v="1"/>
    <s v="Inscritos"/>
    <x v="3"/>
  </r>
  <r>
    <x v="4"/>
    <n v="45068"/>
    <x v="1"/>
    <s v="Inscritos"/>
    <x v="3"/>
  </r>
  <r>
    <x v="5"/>
    <n v="25335"/>
    <x v="1"/>
    <s v="Inscritos"/>
    <x v="3"/>
  </r>
  <r>
    <x v="6"/>
    <n v="29462"/>
    <x v="1"/>
    <s v="Inscritos"/>
    <x v="3"/>
  </r>
  <r>
    <x v="7"/>
    <n v="31623"/>
    <x v="1"/>
    <s v="Inscritos"/>
    <x v="3"/>
  </r>
  <r>
    <x v="8"/>
    <n v="55516"/>
    <x v="1"/>
    <s v="Inscritos"/>
    <x v="3"/>
  </r>
  <r>
    <x v="9"/>
    <n v="36661"/>
    <x v="1"/>
    <s v="Inscritos"/>
    <x v="3"/>
  </r>
  <r>
    <x v="10"/>
    <n v="21566"/>
    <x v="1"/>
    <s v="Inscritos"/>
    <x v="3"/>
  </r>
  <r>
    <x v="11"/>
    <n v="78599"/>
    <x v="1"/>
    <s v="Inscritos"/>
    <x v="3"/>
  </r>
  <r>
    <x v="12"/>
    <n v="86489"/>
    <x v="1"/>
    <s v="Inscritos"/>
    <x v="3"/>
  </r>
  <r>
    <x v="13"/>
    <n v="72040"/>
    <x v="1"/>
    <s v="Inscritos"/>
    <x v="3"/>
  </r>
  <r>
    <x v="14"/>
    <n v="19539"/>
    <x v="1"/>
    <s v="Inscritos"/>
    <x v="3"/>
  </r>
  <r>
    <x v="15"/>
    <n v="80729"/>
    <x v="1"/>
    <s v="Inscritos"/>
    <x v="3"/>
  </r>
  <r>
    <x v="16"/>
    <n v="38644"/>
    <x v="1"/>
    <s v="Inscritos"/>
    <x v="3"/>
  </r>
  <r>
    <x v="17"/>
    <n v="28298"/>
    <x v="1"/>
    <s v="Inscritos"/>
    <x v="3"/>
  </r>
  <r>
    <x v="18"/>
    <n v="15797"/>
    <x v="1"/>
    <s v="Inscritos"/>
    <x v="3"/>
  </r>
  <r>
    <x v="19"/>
    <n v="27760"/>
    <x v="1"/>
    <s v="Inscritos"/>
    <x v="3"/>
  </r>
  <r>
    <x v="20"/>
    <n v="23718"/>
    <x v="1"/>
    <s v="Inscritos"/>
    <x v="3"/>
  </r>
  <r>
    <x v="21"/>
    <n v="32710"/>
    <x v="1"/>
    <s v="Inscritos"/>
    <x v="3"/>
  </r>
  <r>
    <x v="0"/>
    <n v="197115"/>
    <x v="0"/>
    <s v="Inscritos"/>
    <x v="4"/>
  </r>
  <r>
    <x v="1"/>
    <n v="12003"/>
    <x v="0"/>
    <s v="Inscritos"/>
    <x v="4"/>
  </r>
  <r>
    <x v="2"/>
    <n v="21543"/>
    <x v="0"/>
    <s v="Inscritos"/>
    <x v="4"/>
  </r>
  <r>
    <x v="3"/>
    <n v="44192"/>
    <x v="0"/>
    <s v="Inscritos"/>
    <x v="4"/>
  </r>
  <r>
    <x v="4"/>
    <n v="48584"/>
    <x v="0"/>
    <s v="Inscritos"/>
    <x v="4"/>
  </r>
  <r>
    <x v="5"/>
    <n v="27197"/>
    <x v="0"/>
    <s v="Inscritos"/>
    <x v="4"/>
  </r>
  <r>
    <x v="6"/>
    <n v="30783"/>
    <x v="0"/>
    <s v="Inscritos"/>
    <x v="4"/>
  </r>
  <r>
    <x v="7"/>
    <n v="33588"/>
    <x v="0"/>
    <s v="Inscritos"/>
    <x v="4"/>
  </r>
  <r>
    <x v="8"/>
    <n v="59543"/>
    <x v="0"/>
    <s v="Inscritos"/>
    <x v="4"/>
  </r>
  <r>
    <x v="9"/>
    <n v="39563"/>
    <x v="0"/>
    <s v="Inscritos"/>
    <x v="4"/>
  </r>
  <r>
    <x v="10"/>
    <n v="23546"/>
    <x v="0"/>
    <s v="Inscritos"/>
    <x v="4"/>
  </r>
  <r>
    <x v="11"/>
    <n v="82952"/>
    <x v="0"/>
    <s v="Inscritos"/>
    <x v="4"/>
  </r>
  <r>
    <x v="12"/>
    <n v="92683"/>
    <x v="0"/>
    <s v="Inscritos"/>
    <x v="4"/>
  </r>
  <r>
    <x v="13"/>
    <n v="75859"/>
    <x v="0"/>
    <s v="Inscritos"/>
    <x v="4"/>
  </r>
  <r>
    <x v="14"/>
    <n v="21119"/>
    <x v="0"/>
    <s v="Inscritos"/>
    <x v="4"/>
  </r>
  <r>
    <x v="15"/>
    <n v="85161"/>
    <x v="0"/>
    <s v="Inscritos"/>
    <x v="4"/>
  </r>
  <r>
    <x v="16"/>
    <n v="41975"/>
    <x v="0"/>
    <s v="Inscritos"/>
    <x v="4"/>
  </r>
  <r>
    <x v="17"/>
    <n v="30444"/>
    <x v="0"/>
    <s v="Inscritos"/>
    <x v="4"/>
  </r>
  <r>
    <x v="18"/>
    <n v="17157"/>
    <x v="0"/>
    <s v="Inscritos"/>
    <x v="4"/>
  </r>
  <r>
    <x v="19"/>
    <n v="29420"/>
    <x v="0"/>
    <s v="Inscritos"/>
    <x v="4"/>
  </r>
  <r>
    <x v="20"/>
    <n v="25353"/>
    <x v="0"/>
    <s v="Inscritos"/>
    <x v="4"/>
  </r>
  <r>
    <x v="21"/>
    <n v="34993"/>
    <x v="0"/>
    <s v="Inscritos"/>
    <x v="4"/>
  </r>
  <r>
    <x v="0"/>
    <n v="190977"/>
    <x v="1"/>
    <s v="Inscritos"/>
    <x v="4"/>
  </r>
  <r>
    <x v="1"/>
    <n v="11464"/>
    <x v="1"/>
    <s v="Inscritos"/>
    <x v="4"/>
  </r>
  <r>
    <x v="2"/>
    <n v="20693"/>
    <x v="1"/>
    <s v="Inscritos"/>
    <x v="4"/>
  </r>
  <r>
    <x v="3"/>
    <n v="42900"/>
    <x v="1"/>
    <s v="Inscritos"/>
    <x v="4"/>
  </r>
  <r>
    <x v="4"/>
    <n v="46090"/>
    <x v="1"/>
    <s v="Inscritos"/>
    <x v="4"/>
  </r>
  <r>
    <x v="5"/>
    <n v="26278"/>
    <x v="1"/>
    <s v="Inscritos"/>
    <x v="4"/>
  </r>
  <r>
    <x v="6"/>
    <n v="30248"/>
    <x v="1"/>
    <s v="Inscritos"/>
    <x v="4"/>
  </r>
  <r>
    <x v="7"/>
    <n v="32534"/>
    <x v="1"/>
    <s v="Inscritos"/>
    <x v="4"/>
  </r>
  <r>
    <x v="8"/>
    <n v="57331"/>
    <x v="1"/>
    <s v="Inscritos"/>
    <x v="4"/>
  </r>
  <r>
    <x v="9"/>
    <n v="37316"/>
    <x v="1"/>
    <s v="Inscritos"/>
    <x v="4"/>
  </r>
  <r>
    <x v="10"/>
    <n v="22076"/>
    <x v="1"/>
    <s v="Inscritos"/>
    <x v="4"/>
  </r>
  <r>
    <x v="11"/>
    <n v="80728"/>
    <x v="1"/>
    <s v="Inscritos"/>
    <x v="4"/>
  </r>
  <r>
    <x v="12"/>
    <n v="88800"/>
    <x v="1"/>
    <s v="Inscritos"/>
    <x v="4"/>
  </r>
  <r>
    <x v="13"/>
    <n v="72682"/>
    <x v="1"/>
    <s v="Inscritos"/>
    <x v="4"/>
  </r>
  <r>
    <x v="14"/>
    <n v="20252"/>
    <x v="1"/>
    <s v="Inscritos"/>
    <x v="4"/>
  </r>
  <r>
    <x v="15"/>
    <n v="81432"/>
    <x v="1"/>
    <s v="Inscritos"/>
    <x v="4"/>
  </r>
  <r>
    <x v="16"/>
    <n v="40676"/>
    <x v="1"/>
    <s v="Inscritos"/>
    <x v="4"/>
  </r>
  <r>
    <x v="17"/>
    <n v="29465"/>
    <x v="1"/>
    <s v="Inscritos"/>
    <x v="4"/>
  </r>
  <r>
    <x v="18"/>
    <n v="16459"/>
    <x v="1"/>
    <s v="Inscritos"/>
    <x v="4"/>
  </r>
  <r>
    <x v="19"/>
    <n v="28553"/>
    <x v="1"/>
    <s v="Inscritos"/>
    <x v="4"/>
  </r>
  <r>
    <x v="20"/>
    <n v="24593"/>
    <x v="1"/>
    <s v="Inscritos"/>
    <x v="4"/>
  </r>
  <r>
    <x v="21"/>
    <n v="33910"/>
    <x v="1"/>
    <s v="Inscritos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0">
  <r>
    <x v="0"/>
    <n v="206874"/>
    <x v="0"/>
    <s v="Población"/>
    <x v="0"/>
  </r>
  <r>
    <x v="1"/>
    <n v="12428"/>
    <x v="0"/>
    <s v="Población"/>
    <x v="0"/>
  </r>
  <r>
    <x v="2"/>
    <n v="24817"/>
    <x v="0"/>
    <s v="Población"/>
    <x v="0"/>
  </r>
  <r>
    <x v="3"/>
    <n v="59694"/>
    <x v="0"/>
    <s v="Población"/>
    <x v="0"/>
  </r>
  <r>
    <x v="4"/>
    <n v="53416"/>
    <x v="0"/>
    <s v="Población"/>
    <x v="0"/>
  </r>
  <r>
    <x v="5"/>
    <n v="28940"/>
    <x v="0"/>
    <s v="Población"/>
    <x v="0"/>
  </r>
  <r>
    <x v="6"/>
    <n v="44780"/>
    <x v="0"/>
    <s v="Población"/>
    <x v="0"/>
  </r>
  <r>
    <x v="7"/>
    <n v="50750"/>
    <x v="0"/>
    <s v="Población"/>
    <x v="0"/>
  </r>
  <r>
    <x v="8"/>
    <n v="68482"/>
    <x v="0"/>
    <s v="Población"/>
    <x v="0"/>
  </r>
  <r>
    <x v="9"/>
    <n v="45209"/>
    <x v="0"/>
    <s v="Población"/>
    <x v="0"/>
  </r>
  <r>
    <x v="10"/>
    <n v="25425"/>
    <x v="0"/>
    <s v="Población"/>
    <x v="0"/>
  </r>
  <r>
    <x v="11"/>
    <n v="89687"/>
    <x v="0"/>
    <s v="Población"/>
    <x v="0"/>
  </r>
  <r>
    <x v="12"/>
    <n v="109765"/>
    <x v="0"/>
    <s v="Población"/>
    <x v="0"/>
  </r>
  <r>
    <x v="13"/>
    <n v="103222"/>
    <x v="0"/>
    <s v="Población"/>
    <x v="0"/>
  </r>
  <r>
    <x v="14"/>
    <n v="25174"/>
    <x v="0"/>
    <s v="Población"/>
    <x v="0"/>
  </r>
  <r>
    <x v="15"/>
    <n v="108470"/>
    <x v="0"/>
    <s v="Población"/>
    <x v="0"/>
  </r>
  <r>
    <x v="16"/>
    <n v="66507"/>
    <x v="0"/>
    <s v="Población"/>
    <x v="0"/>
  </r>
  <r>
    <x v="17"/>
    <n v="36104"/>
    <x v="0"/>
    <s v="Población"/>
    <x v="0"/>
  </r>
  <r>
    <x v="18"/>
    <n v="16874"/>
    <x v="0"/>
    <s v="Población"/>
    <x v="0"/>
  </r>
  <r>
    <x v="19"/>
    <n v="33757"/>
    <x v="0"/>
    <s v="Población"/>
    <x v="0"/>
  </r>
  <r>
    <x v="20"/>
    <n v="31787"/>
    <x v="0"/>
    <s v="Población"/>
    <x v="0"/>
  </r>
  <r>
    <x v="21"/>
    <n v="39547"/>
    <x v="0"/>
    <s v="Población"/>
    <x v="0"/>
  </r>
  <r>
    <x v="0"/>
    <n v="199023"/>
    <x v="1"/>
    <s v="Población"/>
    <x v="0"/>
  </r>
  <r>
    <x v="1"/>
    <n v="12252"/>
    <x v="1"/>
    <s v="Población"/>
    <x v="0"/>
  </r>
  <r>
    <x v="2"/>
    <n v="23970"/>
    <x v="1"/>
    <s v="Población"/>
    <x v="0"/>
  </r>
  <r>
    <x v="3"/>
    <n v="57747"/>
    <x v="1"/>
    <s v="Población"/>
    <x v="0"/>
  </r>
  <r>
    <x v="4"/>
    <n v="51570"/>
    <x v="1"/>
    <s v="Población"/>
    <x v="0"/>
  </r>
  <r>
    <x v="5"/>
    <n v="28472"/>
    <x v="1"/>
    <s v="Población"/>
    <x v="0"/>
  </r>
  <r>
    <x v="6"/>
    <n v="43313"/>
    <x v="1"/>
    <s v="Población"/>
    <x v="0"/>
  </r>
  <r>
    <x v="7"/>
    <n v="49182"/>
    <x v="1"/>
    <s v="Población"/>
    <x v="0"/>
  </r>
  <r>
    <x v="8"/>
    <n v="66454"/>
    <x v="1"/>
    <s v="Población"/>
    <x v="0"/>
  </r>
  <r>
    <x v="9"/>
    <n v="44022"/>
    <x v="1"/>
    <s v="Población"/>
    <x v="0"/>
  </r>
  <r>
    <x v="10"/>
    <n v="24797"/>
    <x v="1"/>
    <s v="Población"/>
    <x v="0"/>
  </r>
  <r>
    <x v="11"/>
    <n v="87191"/>
    <x v="1"/>
    <s v="Población"/>
    <x v="0"/>
  </r>
  <r>
    <x v="12"/>
    <n v="103694"/>
    <x v="1"/>
    <s v="Población"/>
    <x v="0"/>
  </r>
  <r>
    <x v="13"/>
    <n v="99926"/>
    <x v="1"/>
    <s v="Población"/>
    <x v="0"/>
  </r>
  <r>
    <x v="14"/>
    <n v="24520"/>
    <x v="1"/>
    <s v="Población"/>
    <x v="0"/>
  </r>
  <r>
    <x v="15"/>
    <n v="104944"/>
    <x v="1"/>
    <s v="Población"/>
    <x v="0"/>
  </r>
  <r>
    <x v="16"/>
    <n v="63450"/>
    <x v="1"/>
    <s v="Población"/>
    <x v="0"/>
  </r>
  <r>
    <x v="17"/>
    <n v="35063"/>
    <x v="1"/>
    <s v="Población"/>
    <x v="0"/>
  </r>
  <r>
    <x v="18"/>
    <n v="16658"/>
    <x v="1"/>
    <s v="Población"/>
    <x v="0"/>
  </r>
  <r>
    <x v="19"/>
    <n v="33065"/>
    <x v="1"/>
    <s v="Población"/>
    <x v="0"/>
  </r>
  <r>
    <x v="20"/>
    <n v="30929"/>
    <x v="1"/>
    <s v="Población"/>
    <x v="0"/>
  </r>
  <r>
    <x v="21"/>
    <n v="38981"/>
    <x v="1"/>
    <s v="Población"/>
    <x v="0"/>
  </r>
  <r>
    <x v="0"/>
    <n v="207719"/>
    <x v="0"/>
    <s v="Población"/>
    <x v="1"/>
  </r>
  <r>
    <x v="1"/>
    <n v="12341"/>
    <x v="0"/>
    <s v="Población"/>
    <x v="1"/>
  </r>
  <r>
    <x v="2"/>
    <n v="24640"/>
    <x v="0"/>
    <s v="Población"/>
    <x v="1"/>
  </r>
  <r>
    <x v="3"/>
    <n v="58471"/>
    <x v="0"/>
    <s v="Población"/>
    <x v="1"/>
  </r>
  <r>
    <x v="4"/>
    <n v="52924"/>
    <x v="0"/>
    <s v="Población"/>
    <x v="1"/>
  </r>
  <r>
    <x v="5"/>
    <n v="28617"/>
    <x v="0"/>
    <s v="Población"/>
    <x v="1"/>
  </r>
  <r>
    <x v="6"/>
    <n v="43633"/>
    <x v="0"/>
    <s v="Población"/>
    <x v="1"/>
  </r>
  <r>
    <x v="7"/>
    <n v="49227"/>
    <x v="0"/>
    <s v="Población"/>
    <x v="1"/>
  </r>
  <r>
    <x v="8"/>
    <n v="67269"/>
    <x v="0"/>
    <s v="Población"/>
    <x v="1"/>
  </r>
  <r>
    <x v="9"/>
    <n v="44489"/>
    <x v="0"/>
    <s v="Población"/>
    <x v="1"/>
  </r>
  <r>
    <x v="10"/>
    <n v="25019"/>
    <x v="0"/>
    <s v="Población"/>
    <x v="1"/>
  </r>
  <r>
    <x v="11"/>
    <n v="88539"/>
    <x v="0"/>
    <s v="Población"/>
    <x v="1"/>
  </r>
  <r>
    <x v="12"/>
    <n v="108051"/>
    <x v="0"/>
    <s v="Población"/>
    <x v="1"/>
  </r>
  <r>
    <x v="13"/>
    <n v="100438"/>
    <x v="0"/>
    <s v="Población"/>
    <x v="1"/>
  </r>
  <r>
    <x v="14"/>
    <n v="24746"/>
    <x v="0"/>
    <s v="Población"/>
    <x v="1"/>
  </r>
  <r>
    <x v="15"/>
    <n v="106779"/>
    <x v="0"/>
    <s v="Población"/>
    <x v="1"/>
  </r>
  <r>
    <x v="16"/>
    <n v="64483"/>
    <x v="0"/>
    <s v="Población"/>
    <x v="1"/>
  </r>
  <r>
    <x v="17"/>
    <n v="35666"/>
    <x v="0"/>
    <s v="Población"/>
    <x v="1"/>
  </r>
  <r>
    <x v="18"/>
    <n v="16872"/>
    <x v="0"/>
    <s v="Población"/>
    <x v="1"/>
  </r>
  <r>
    <x v="19"/>
    <n v="33352"/>
    <x v="0"/>
    <s v="Población"/>
    <x v="1"/>
  </r>
  <r>
    <x v="20"/>
    <n v="31137"/>
    <x v="0"/>
    <s v="Población"/>
    <x v="1"/>
  </r>
  <r>
    <x v="21"/>
    <n v="38959"/>
    <x v="0"/>
    <s v="Población"/>
    <x v="1"/>
  </r>
  <r>
    <x v="0"/>
    <n v="199732"/>
    <x v="1"/>
    <s v="Población"/>
    <x v="1"/>
  </r>
  <r>
    <x v="1"/>
    <n v="12188"/>
    <x v="1"/>
    <s v="Población"/>
    <x v="1"/>
  </r>
  <r>
    <x v="2"/>
    <n v="23813"/>
    <x v="1"/>
    <s v="Población"/>
    <x v="1"/>
  </r>
  <r>
    <x v="3"/>
    <n v="56667"/>
    <x v="1"/>
    <s v="Población"/>
    <x v="1"/>
  </r>
  <r>
    <x v="4"/>
    <n v="51062"/>
    <x v="1"/>
    <s v="Población"/>
    <x v="1"/>
  </r>
  <r>
    <x v="5"/>
    <n v="28219"/>
    <x v="1"/>
    <s v="Población"/>
    <x v="1"/>
  </r>
  <r>
    <x v="6"/>
    <n v="42235"/>
    <x v="1"/>
    <s v="Población"/>
    <x v="1"/>
  </r>
  <r>
    <x v="7"/>
    <n v="47779"/>
    <x v="1"/>
    <s v="Población"/>
    <x v="1"/>
  </r>
  <r>
    <x v="8"/>
    <n v="65430"/>
    <x v="1"/>
    <s v="Población"/>
    <x v="1"/>
  </r>
  <r>
    <x v="9"/>
    <n v="43360"/>
    <x v="1"/>
    <s v="Población"/>
    <x v="1"/>
  </r>
  <r>
    <x v="10"/>
    <n v="24394"/>
    <x v="1"/>
    <s v="Población"/>
    <x v="1"/>
  </r>
  <r>
    <x v="11"/>
    <n v="86200"/>
    <x v="1"/>
    <s v="Población"/>
    <x v="1"/>
  </r>
  <r>
    <x v="12"/>
    <n v="102673"/>
    <x v="1"/>
    <s v="Población"/>
    <x v="1"/>
  </r>
  <r>
    <x v="13"/>
    <n v="97395"/>
    <x v="1"/>
    <s v="Población"/>
    <x v="1"/>
  </r>
  <r>
    <x v="14"/>
    <n v="24196"/>
    <x v="1"/>
    <s v="Población"/>
    <x v="1"/>
  </r>
  <r>
    <x v="15"/>
    <n v="103347"/>
    <x v="1"/>
    <s v="Población"/>
    <x v="1"/>
  </r>
  <r>
    <x v="16"/>
    <n v="61392"/>
    <x v="1"/>
    <s v="Población"/>
    <x v="1"/>
  </r>
  <r>
    <x v="17"/>
    <n v="34653"/>
    <x v="1"/>
    <s v="Población"/>
    <x v="1"/>
  </r>
  <r>
    <x v="18"/>
    <n v="16699"/>
    <x v="1"/>
    <s v="Población"/>
    <x v="1"/>
  </r>
  <r>
    <x v="19"/>
    <n v="32732"/>
    <x v="1"/>
    <s v="Población"/>
    <x v="1"/>
  </r>
  <r>
    <x v="20"/>
    <n v="30377"/>
    <x v="1"/>
    <s v="Población"/>
    <x v="1"/>
  </r>
  <r>
    <x v="21"/>
    <n v="38597"/>
    <x v="1"/>
    <s v="Población"/>
    <x v="1"/>
  </r>
  <r>
    <x v="0"/>
    <n v="208436"/>
    <x v="0"/>
    <s v="Población"/>
    <x v="2"/>
  </r>
  <r>
    <x v="1"/>
    <n v="12235"/>
    <x v="0"/>
    <s v="Población"/>
    <x v="2"/>
  </r>
  <r>
    <x v="2"/>
    <n v="25859"/>
    <x v="0"/>
    <s v="Población"/>
    <x v="2"/>
  </r>
  <r>
    <x v="3"/>
    <n v="57038"/>
    <x v="0"/>
    <s v="Población"/>
    <x v="2"/>
  </r>
  <r>
    <x v="4"/>
    <n v="52423"/>
    <x v="0"/>
    <s v="Población"/>
    <x v="2"/>
  </r>
  <r>
    <x v="5"/>
    <n v="28276"/>
    <x v="0"/>
    <s v="Población"/>
    <x v="2"/>
  </r>
  <r>
    <x v="6"/>
    <n v="42206"/>
    <x v="0"/>
    <s v="Población"/>
    <x v="2"/>
  </r>
  <r>
    <x v="7"/>
    <n v="47394"/>
    <x v="0"/>
    <s v="Población"/>
    <x v="2"/>
  </r>
  <r>
    <x v="8"/>
    <n v="65847"/>
    <x v="0"/>
    <s v="Población"/>
    <x v="2"/>
  </r>
  <r>
    <x v="9"/>
    <n v="43741"/>
    <x v="0"/>
    <s v="Población"/>
    <x v="2"/>
  </r>
  <r>
    <x v="10"/>
    <n v="24595"/>
    <x v="0"/>
    <s v="Población"/>
    <x v="2"/>
  </r>
  <r>
    <x v="11"/>
    <n v="87305"/>
    <x v="0"/>
    <s v="Población"/>
    <x v="2"/>
  </r>
  <r>
    <x v="12"/>
    <n v="105510"/>
    <x v="0"/>
    <s v="Población"/>
    <x v="2"/>
  </r>
  <r>
    <x v="13"/>
    <n v="97380"/>
    <x v="0"/>
    <s v="Población"/>
    <x v="2"/>
  </r>
  <r>
    <x v="14"/>
    <n v="24312"/>
    <x v="0"/>
    <s v="Población"/>
    <x v="2"/>
  </r>
  <r>
    <x v="15"/>
    <n v="105141"/>
    <x v="0"/>
    <s v="Población"/>
    <x v="2"/>
  </r>
  <r>
    <x v="16"/>
    <n v="62127"/>
    <x v="0"/>
    <s v="Población"/>
    <x v="2"/>
  </r>
  <r>
    <x v="17"/>
    <n v="35254"/>
    <x v="0"/>
    <s v="Población"/>
    <x v="2"/>
  </r>
  <r>
    <x v="18"/>
    <n v="16899"/>
    <x v="0"/>
    <s v="Población"/>
    <x v="2"/>
  </r>
  <r>
    <x v="19"/>
    <n v="32907"/>
    <x v="0"/>
    <s v="Población"/>
    <x v="2"/>
  </r>
  <r>
    <x v="20"/>
    <n v="30404"/>
    <x v="0"/>
    <s v="Población"/>
    <x v="2"/>
  </r>
  <r>
    <x v="21"/>
    <n v="38244"/>
    <x v="0"/>
    <s v="Población"/>
    <x v="2"/>
  </r>
  <r>
    <x v="0"/>
    <n v="200296"/>
    <x v="1"/>
    <s v="Población"/>
    <x v="2"/>
  </r>
  <r>
    <x v="1"/>
    <n v="12096"/>
    <x v="1"/>
    <s v="Población"/>
    <x v="2"/>
  </r>
  <r>
    <x v="2"/>
    <n v="23605"/>
    <x v="1"/>
    <s v="Población"/>
    <x v="2"/>
  </r>
  <r>
    <x v="3"/>
    <n v="55429"/>
    <x v="1"/>
    <s v="Población"/>
    <x v="2"/>
  </r>
  <r>
    <x v="4"/>
    <n v="50524"/>
    <x v="1"/>
    <s v="Población"/>
    <x v="2"/>
  </r>
  <r>
    <x v="5"/>
    <n v="27959"/>
    <x v="1"/>
    <s v="Población"/>
    <x v="2"/>
  </r>
  <r>
    <x v="6"/>
    <n v="40910"/>
    <x v="1"/>
    <s v="Población"/>
    <x v="2"/>
  </r>
  <r>
    <x v="7"/>
    <n v="46094"/>
    <x v="1"/>
    <s v="Población"/>
    <x v="2"/>
  </r>
  <r>
    <x v="8"/>
    <n v="64233"/>
    <x v="1"/>
    <s v="Población"/>
    <x v="2"/>
  </r>
  <r>
    <x v="9"/>
    <n v="42646"/>
    <x v="1"/>
    <s v="Población"/>
    <x v="2"/>
  </r>
  <r>
    <x v="10"/>
    <n v="23969"/>
    <x v="1"/>
    <s v="Población"/>
    <x v="2"/>
  </r>
  <r>
    <x v="11"/>
    <n v="85135"/>
    <x v="1"/>
    <s v="Población"/>
    <x v="2"/>
  </r>
  <r>
    <x v="12"/>
    <n v="100961"/>
    <x v="1"/>
    <s v="Población"/>
    <x v="2"/>
  </r>
  <r>
    <x v="13"/>
    <n v="94644"/>
    <x v="1"/>
    <s v="Población"/>
    <x v="2"/>
  </r>
  <r>
    <x v="14"/>
    <n v="23883"/>
    <x v="1"/>
    <s v="Población"/>
    <x v="2"/>
  </r>
  <r>
    <x v="15"/>
    <n v="101826"/>
    <x v="1"/>
    <s v="Población"/>
    <x v="2"/>
  </r>
  <r>
    <x v="16"/>
    <n v="59135"/>
    <x v="1"/>
    <s v="Población"/>
    <x v="2"/>
  </r>
  <r>
    <x v="17"/>
    <n v="34263"/>
    <x v="1"/>
    <s v="Población"/>
    <x v="2"/>
  </r>
  <r>
    <x v="18"/>
    <n v="16769"/>
    <x v="1"/>
    <s v="Población"/>
    <x v="2"/>
  </r>
  <r>
    <x v="19"/>
    <n v="32355"/>
    <x v="1"/>
    <s v="Población"/>
    <x v="2"/>
  </r>
  <r>
    <x v="20"/>
    <n v="29761"/>
    <x v="1"/>
    <s v="Población"/>
    <x v="2"/>
  </r>
  <r>
    <x v="21"/>
    <n v="38098"/>
    <x v="1"/>
    <s v="Población"/>
    <x v="2"/>
  </r>
  <r>
    <x v="0"/>
    <n v="212590"/>
    <x v="0"/>
    <s v="Población"/>
    <x v="3"/>
  </r>
  <r>
    <x v="1"/>
    <n v="12193"/>
    <x v="0"/>
    <s v="Población"/>
    <x v="3"/>
  </r>
  <r>
    <x v="2"/>
    <n v="24422"/>
    <x v="0"/>
    <s v="Población"/>
    <x v="3"/>
  </r>
  <r>
    <x v="3"/>
    <n v="55352"/>
    <x v="0"/>
    <s v="Población"/>
    <x v="3"/>
  </r>
  <r>
    <x v="4"/>
    <n v="52414"/>
    <x v="0"/>
    <s v="Población"/>
    <x v="3"/>
  </r>
  <r>
    <x v="5"/>
    <n v="27957"/>
    <x v="0"/>
    <s v="Población"/>
    <x v="3"/>
  </r>
  <r>
    <x v="6"/>
    <n v="39888"/>
    <x v="0"/>
    <s v="Población"/>
    <x v="3"/>
  </r>
  <r>
    <x v="7"/>
    <n v="43960"/>
    <x v="0"/>
    <s v="Población"/>
    <x v="3"/>
  </r>
  <r>
    <x v="8"/>
    <n v="63359"/>
    <x v="0"/>
    <s v="Población"/>
    <x v="3"/>
  </r>
  <r>
    <x v="9"/>
    <n v="43072"/>
    <x v="0"/>
    <s v="Población"/>
    <x v="3"/>
  </r>
  <r>
    <x v="10"/>
    <n v="24051"/>
    <x v="0"/>
    <s v="Población"/>
    <x v="3"/>
  </r>
  <r>
    <x v="11"/>
    <n v="86079"/>
    <x v="0"/>
    <s v="Población"/>
    <x v="3"/>
  </r>
  <r>
    <x v="12"/>
    <n v="102270"/>
    <x v="0"/>
    <s v="Población"/>
    <x v="3"/>
  </r>
  <r>
    <x v="13"/>
    <n v="93496"/>
    <x v="0"/>
    <s v="Población"/>
    <x v="3"/>
  </r>
  <r>
    <x v="14"/>
    <n v="23903"/>
    <x v="0"/>
    <s v="Población"/>
    <x v="3"/>
  </r>
  <r>
    <x v="15"/>
    <n v="106168"/>
    <x v="0"/>
    <s v="Población"/>
    <x v="3"/>
  </r>
  <r>
    <x v="16"/>
    <n v="59521"/>
    <x v="0"/>
    <s v="Población"/>
    <x v="3"/>
  </r>
  <r>
    <x v="17"/>
    <n v="35355"/>
    <x v="0"/>
    <s v="Población"/>
    <x v="3"/>
  </r>
  <r>
    <x v="18"/>
    <n v="17339"/>
    <x v="0"/>
    <s v="Población"/>
    <x v="3"/>
  </r>
  <r>
    <x v="19"/>
    <n v="32717"/>
    <x v="0"/>
    <s v="Población"/>
    <x v="3"/>
  </r>
  <r>
    <x v="20"/>
    <n v="29469"/>
    <x v="0"/>
    <s v="Población"/>
    <x v="3"/>
  </r>
  <r>
    <x v="21"/>
    <n v="36446"/>
    <x v="0"/>
    <s v="Población"/>
    <x v="3"/>
  </r>
  <r>
    <x v="0"/>
    <n v="203646"/>
    <x v="1"/>
    <s v="Población"/>
    <x v="3"/>
  </r>
  <r>
    <x v="1"/>
    <n v="12121"/>
    <x v="1"/>
    <s v="Población"/>
    <x v="3"/>
  </r>
  <r>
    <x v="2"/>
    <n v="23669"/>
    <x v="1"/>
    <s v="Población"/>
    <x v="3"/>
  </r>
  <r>
    <x v="3"/>
    <n v="54104"/>
    <x v="1"/>
    <s v="Población"/>
    <x v="3"/>
  </r>
  <r>
    <x v="4"/>
    <n v="50351"/>
    <x v="1"/>
    <s v="Población"/>
    <x v="3"/>
  </r>
  <r>
    <x v="5"/>
    <n v="27888"/>
    <x v="1"/>
    <s v="Población"/>
    <x v="3"/>
  </r>
  <r>
    <x v="6"/>
    <n v="38701"/>
    <x v="1"/>
    <s v="Población"/>
    <x v="3"/>
  </r>
  <r>
    <x v="7"/>
    <n v="42880"/>
    <x v="1"/>
    <s v="Población"/>
    <x v="3"/>
  </r>
  <r>
    <x v="8"/>
    <n v="62189"/>
    <x v="1"/>
    <s v="Población"/>
    <x v="3"/>
  </r>
  <r>
    <x v="9"/>
    <n v="41929"/>
    <x v="1"/>
    <s v="Población"/>
    <x v="3"/>
  </r>
  <r>
    <x v="10"/>
    <n v="23368"/>
    <x v="1"/>
    <s v="Población"/>
    <x v="3"/>
  </r>
  <r>
    <x v="11"/>
    <n v="84066"/>
    <x v="1"/>
    <s v="Población"/>
    <x v="3"/>
  </r>
  <r>
    <x v="12"/>
    <n v="100149"/>
    <x v="1"/>
    <s v="Población"/>
    <x v="3"/>
  </r>
  <r>
    <x v="13"/>
    <n v="91368"/>
    <x v="1"/>
    <s v="Población"/>
    <x v="3"/>
  </r>
  <r>
    <x v="14"/>
    <n v="23881"/>
    <x v="1"/>
    <s v="Población"/>
    <x v="3"/>
  </r>
  <r>
    <x v="15"/>
    <n v="102789"/>
    <x v="1"/>
    <s v="Población"/>
    <x v="3"/>
  </r>
  <r>
    <x v="16"/>
    <n v="56099"/>
    <x v="1"/>
    <s v="Población"/>
    <x v="3"/>
  </r>
  <r>
    <x v="17"/>
    <n v="34320"/>
    <x v="1"/>
    <s v="Población"/>
    <x v="3"/>
  </r>
  <r>
    <x v="18"/>
    <n v="17477"/>
    <x v="1"/>
    <s v="Población"/>
    <x v="3"/>
  </r>
  <r>
    <x v="19"/>
    <n v="32313"/>
    <x v="1"/>
    <s v="Población"/>
    <x v="3"/>
  </r>
  <r>
    <x v="20"/>
    <n v="29123"/>
    <x v="1"/>
    <s v="Población"/>
    <x v="3"/>
  </r>
  <r>
    <x v="21"/>
    <n v="37873"/>
    <x v="1"/>
    <s v="Población"/>
    <x v="3"/>
  </r>
  <r>
    <x v="0"/>
    <n v="211210"/>
    <x v="0"/>
    <s v="Población"/>
    <x v="4"/>
  </r>
  <r>
    <x v="1"/>
    <n v="12122"/>
    <x v="0"/>
    <s v="Población"/>
    <x v="4"/>
  </r>
  <r>
    <x v="2"/>
    <n v="24070"/>
    <x v="0"/>
    <s v="Población"/>
    <x v="4"/>
  </r>
  <r>
    <x v="3"/>
    <n v="53800"/>
    <x v="0"/>
    <s v="Población"/>
    <x v="4"/>
  </r>
  <r>
    <x v="4"/>
    <n v="51947"/>
    <x v="0"/>
    <s v="Población"/>
    <x v="4"/>
  </r>
  <r>
    <x v="5"/>
    <n v="27752"/>
    <x v="0"/>
    <s v="Población"/>
    <x v="4"/>
  </r>
  <r>
    <x v="6"/>
    <n v="38419"/>
    <x v="0"/>
    <s v="Población"/>
    <x v="4"/>
  </r>
  <r>
    <x v="7"/>
    <n v="42226"/>
    <x v="0"/>
    <s v="Población"/>
    <x v="4"/>
  </r>
  <r>
    <x v="8"/>
    <n v="62290"/>
    <x v="0"/>
    <s v="Población"/>
    <x v="4"/>
  </r>
  <r>
    <x v="9"/>
    <n v="42455"/>
    <x v="0"/>
    <s v="Población"/>
    <x v="4"/>
  </r>
  <r>
    <x v="10"/>
    <n v="23814"/>
    <x v="0"/>
    <s v="Población"/>
    <x v="4"/>
  </r>
  <r>
    <x v="11"/>
    <n v="85080"/>
    <x v="0"/>
    <s v="Población"/>
    <x v="4"/>
  </r>
  <r>
    <x v="12"/>
    <n v="100102"/>
    <x v="0"/>
    <s v="Población"/>
    <x v="4"/>
  </r>
  <r>
    <x v="13"/>
    <n v="90430"/>
    <x v="0"/>
    <s v="Población"/>
    <x v="4"/>
  </r>
  <r>
    <x v="14"/>
    <n v="23549"/>
    <x v="0"/>
    <s v="Población"/>
    <x v="4"/>
  </r>
  <r>
    <x v="15"/>
    <n v="103498"/>
    <x v="0"/>
    <s v="Población"/>
    <x v="4"/>
  </r>
  <r>
    <x v="16"/>
    <n v="57182"/>
    <x v="0"/>
    <s v="Población"/>
    <x v="4"/>
  </r>
  <r>
    <x v="17"/>
    <n v="34793"/>
    <x v="0"/>
    <s v="Población"/>
    <x v="4"/>
  </r>
  <r>
    <x v="18"/>
    <n v="17316"/>
    <x v="0"/>
    <s v="Población"/>
    <x v="4"/>
  </r>
  <r>
    <x v="19"/>
    <n v="32116"/>
    <x v="0"/>
    <s v="Población"/>
    <x v="4"/>
  </r>
  <r>
    <x v="20"/>
    <n v="28701"/>
    <x v="0"/>
    <s v="Población"/>
    <x v="4"/>
  </r>
  <r>
    <x v="21"/>
    <n v="36137"/>
    <x v="0"/>
    <s v="Población"/>
    <x v="4"/>
  </r>
  <r>
    <x v="0"/>
    <n v="202416"/>
    <x v="1"/>
    <s v="Población"/>
    <x v="4"/>
  </r>
  <r>
    <x v="1"/>
    <n v="12006"/>
    <x v="1"/>
    <s v="Población"/>
    <x v="4"/>
  </r>
  <r>
    <x v="2"/>
    <n v="23385"/>
    <x v="1"/>
    <s v="Población"/>
    <x v="4"/>
  </r>
  <r>
    <x v="3"/>
    <n v="52703"/>
    <x v="1"/>
    <s v="Población"/>
    <x v="4"/>
  </r>
  <r>
    <x v="4"/>
    <n v="49833"/>
    <x v="1"/>
    <s v="Población"/>
    <x v="4"/>
  </r>
  <r>
    <x v="5"/>
    <n v="27644"/>
    <x v="1"/>
    <s v="Población"/>
    <x v="4"/>
  </r>
  <r>
    <x v="6"/>
    <n v="37381"/>
    <x v="1"/>
    <s v="Población"/>
    <x v="4"/>
  </r>
  <r>
    <x v="7"/>
    <n v="41325"/>
    <x v="1"/>
    <s v="Población"/>
    <x v="4"/>
  </r>
  <r>
    <x v="8"/>
    <n v="61253"/>
    <x v="1"/>
    <s v="Población"/>
    <x v="4"/>
  </r>
  <r>
    <x v="9"/>
    <n v="41403"/>
    <x v="1"/>
    <s v="Población"/>
    <x v="4"/>
  </r>
  <r>
    <x v="10"/>
    <n v="23112"/>
    <x v="1"/>
    <s v="Población"/>
    <x v="4"/>
  </r>
  <r>
    <x v="11"/>
    <n v="83307"/>
    <x v="1"/>
    <s v="Población"/>
    <x v="4"/>
  </r>
  <r>
    <x v="12"/>
    <n v="98555"/>
    <x v="1"/>
    <s v="Población"/>
    <x v="4"/>
  </r>
  <r>
    <x v="13"/>
    <n v="88567"/>
    <x v="1"/>
    <s v="Población"/>
    <x v="4"/>
  </r>
  <r>
    <x v="14"/>
    <n v="23553"/>
    <x v="1"/>
    <s v="Población"/>
    <x v="4"/>
  </r>
  <r>
    <x v="15"/>
    <n v="100319"/>
    <x v="1"/>
    <s v="Población"/>
    <x v="4"/>
  </r>
  <r>
    <x v="16"/>
    <n v="53886"/>
    <x v="1"/>
    <s v="Población"/>
    <x v="4"/>
  </r>
  <r>
    <x v="17"/>
    <n v="33787"/>
    <x v="1"/>
    <s v="Población"/>
    <x v="4"/>
  </r>
  <r>
    <x v="18"/>
    <n v="17400"/>
    <x v="1"/>
    <s v="Población"/>
    <x v="4"/>
  </r>
  <r>
    <x v="19"/>
    <n v="31703"/>
    <x v="1"/>
    <s v="Población"/>
    <x v="4"/>
  </r>
  <r>
    <x v="20"/>
    <n v="28425"/>
    <x v="1"/>
    <s v="Población"/>
    <x v="4"/>
  </r>
  <r>
    <x v="21"/>
    <n v="37118"/>
    <x v="1"/>
    <s v="Población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6" minRefreshableVersion="3" createdVersion="6" useAutoFormatting="1" indent="0" outline="1" outlineData="1" showDrill="1" multipleFieldFilters="0">
  <location ref="A7:G31" firstHeaderRow="1" firstDataRow="2" firstDataCol="1" rowPageCount="1" colPageCount="1"/>
  <pivotFields count="5">
    <pivotField axis="axisRow" subtotalTop="0" showAll="0">
      <items count="23">
        <item x="15"/>
        <item x="14"/>
        <item x="3"/>
        <item x="19"/>
        <item x="1"/>
        <item x="4"/>
        <item x="0"/>
        <item x="12"/>
        <item x="17"/>
        <item x="20"/>
        <item x="21"/>
        <item x="16"/>
        <item x="8"/>
        <item x="13"/>
        <item x="10"/>
        <item x="2"/>
        <item x="11"/>
        <item x="5"/>
        <item x="6"/>
        <item x="9"/>
        <item x="7"/>
        <item x="18"/>
        <item t="default"/>
      </items>
    </pivotField>
    <pivotField dataField="1" subtotalTop="0" numFmtId="3" showAll="0"/>
    <pivotField axis="axisPage" subtotalTop="0" showAll="0">
      <items count="3">
        <item x="1"/>
        <item x="0"/>
        <item t="default"/>
      </items>
    </pivotField>
    <pivotField subtotalTop="0" showAll="0"/>
    <pivotField axis="axisCol" subtotalTop="0" showAll="0">
      <items count="6">
        <item x="4"/>
        <item x="3"/>
        <item x="2"/>
        <item x="1"/>
        <item x="0"/>
        <item t="default"/>
      </items>
    </pivotField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item="1"/>
  </pageFields>
  <dataFields count="1">
    <dataField name="Sum of Cantidad" fld="1" baseField="0" baseItem="0" numFmtId="3"/>
  </dataFields>
  <formats count="3">
    <format dxfId="0">
      <pivotArea outline="0" collapsedLevelsAreSubtotals="1" fieldPosition="0"/>
    </format>
    <format dxfId="1">
      <pivotArea outline="0" collapsedLevelsAreSubtotals="1" fieldPosition="0"/>
    </format>
    <format dxfId="2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" autoFormatId="1" applyNumberFormats="0" applyBorderFormats="0" applyFontFormats="0" applyPatternFormats="0" applyAlignmentFormats="0" applyWidthHeightFormats="1" dataCaption="Values" updatedVersion="6" minRefreshableVersion="3" createdVersion="6" useAutoFormatting="1" indent="0" outline="1" outlineData="1" showDrill="1" multipleFieldFilters="0">
  <location ref="A7:G31" firstHeaderRow="1" firstDataRow="2" firstDataCol="1" rowPageCount="1" colPageCount="1"/>
  <pivotFields count="5">
    <pivotField axis="axisRow" subtotalTop="0" showAll="0">
      <items count="23">
        <item x="15"/>
        <item x="14"/>
        <item x="3"/>
        <item x="19"/>
        <item x="1"/>
        <item x="4"/>
        <item x="0"/>
        <item x="12"/>
        <item x="17"/>
        <item x="20"/>
        <item x="21"/>
        <item x="16"/>
        <item x="8"/>
        <item x="13"/>
        <item x="10"/>
        <item x="2"/>
        <item x="11"/>
        <item x="5"/>
        <item x="6"/>
        <item x="9"/>
        <item x="7"/>
        <item x="18"/>
        <item t="default"/>
      </items>
    </pivotField>
    <pivotField dataField="1" subtotalTop="0" numFmtId="3" showAll="0"/>
    <pivotField axis="axisPage" subtotalTop="0" showAll="0">
      <items count="3">
        <item x="1"/>
        <item x="0"/>
        <item t="default"/>
      </items>
    </pivotField>
    <pivotField subtotalTop="0" showAll="0"/>
    <pivotField axis="axisCol" subtotalTop="0" showAll="0">
      <items count="6">
        <item x="4"/>
        <item x="3"/>
        <item x="2"/>
        <item x="1"/>
        <item x="0"/>
        <item t="default"/>
      </items>
    </pivotField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item="1"/>
  </pageFields>
  <dataFields count="1">
    <dataField name="Sum of Cantidad" fld="1" baseField="0" baseItem="0" numFmtId="177"/>
  </dataFields>
  <formats count="5">
    <format dxfId="3">
      <pivotArea outline="0" collapsedLevelsAreSubtotals="1" fieldPosition="0"/>
    </format>
    <format dxfId="4">
      <pivotArea outline="0" collapsedLevelsAreSubtotals="1" fieldPosition="0"/>
    </format>
    <format dxfId="5">
      <pivotArea outline="0" collapsedLevelsAreSubtotals="1" fieldPosition="0"/>
    </format>
    <format dxfId="6">
      <pivotArea outline="0" collapsedLevelsAreSubtotals="1" fieldPosition="0"/>
    </format>
    <format dxfId="7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K34"/>
  <sheetViews>
    <sheetView showGridLines="0" zoomScale="93" zoomScaleNormal="93" workbookViewId="0">
      <selection activeCell="M6" sqref="M6"/>
    </sheetView>
  </sheetViews>
  <sheetFormatPr defaultColWidth="9" defaultRowHeight="15"/>
  <cols>
    <col min="1" max="1" width="11" style="56" customWidth="1"/>
    <col min="2" max="3" width="9.14285714285714" style="56"/>
    <col min="4" max="4" width="3.42857142857143" style="56" customWidth="1"/>
    <col min="5" max="7" width="9.14285714285714" style="56"/>
    <col min="8" max="8" width="2.85714285714286" style="56" customWidth="1"/>
    <col min="9" max="10" width="9.14285714285714" style="56"/>
    <col min="11" max="11" width="12.2857142857143" style="56" customWidth="1"/>
    <col min="12" max="16384" width="9.14285714285714" style="56"/>
  </cols>
  <sheetData>
    <row r="1" spans="1:11">
      <c r="A1" s="57" t="s">
        <v>0</v>
      </c>
      <c r="B1" s="57"/>
      <c r="C1" s="57"/>
      <c r="D1" s="57"/>
      <c r="E1" s="57"/>
      <c r="F1" s="57"/>
      <c r="G1" s="57"/>
      <c r="H1" s="58"/>
      <c r="I1" s="58" t="s">
        <v>1</v>
      </c>
      <c r="J1" s="58"/>
      <c r="K1" s="58"/>
    </row>
    <row r="2" spans="1:11">
      <c r="A2" s="59" t="s">
        <v>2</v>
      </c>
      <c r="B2" s="60"/>
      <c r="C2" s="60"/>
      <c r="D2" s="60"/>
      <c r="E2" s="60"/>
      <c r="F2" s="60"/>
      <c r="G2" s="61"/>
      <c r="H2" s="62"/>
      <c r="I2" s="83" t="s">
        <v>3</v>
      </c>
      <c r="J2" s="60"/>
      <c r="K2" s="61"/>
    </row>
    <row r="3" spans="1:1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</row>
    <row r="4" spans="1:11">
      <c r="A4" s="63" t="s">
        <v>4</v>
      </c>
      <c r="B4" s="57" t="s">
        <v>5</v>
      </c>
      <c r="C4" s="57"/>
      <c r="D4" s="57"/>
      <c r="E4" s="57"/>
      <c r="F4" s="57"/>
      <c r="G4" s="63" t="s">
        <v>4</v>
      </c>
      <c r="H4" s="64" t="s">
        <v>6</v>
      </c>
      <c r="I4" s="64"/>
      <c r="J4" s="64"/>
      <c r="K4" s="64"/>
    </row>
    <row r="5" spans="1:11">
      <c r="A5" s="65">
        <v>11130008</v>
      </c>
      <c r="B5" s="59" t="s">
        <v>7</v>
      </c>
      <c r="C5" s="60"/>
      <c r="D5" s="60"/>
      <c r="E5" s="60"/>
      <c r="F5" s="61"/>
      <c r="G5" s="66">
        <v>12</v>
      </c>
      <c r="H5" s="59" t="s">
        <v>8</v>
      </c>
      <c r="I5" s="60"/>
      <c r="J5" s="60"/>
      <c r="K5" s="61"/>
    </row>
    <row r="6" spans="1:11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</row>
    <row r="7" spans="1:11">
      <c r="A7" s="57" t="s">
        <v>9</v>
      </c>
      <c r="B7" s="57"/>
      <c r="C7" s="57"/>
      <c r="D7" s="57"/>
      <c r="E7" s="57"/>
      <c r="F7" s="57"/>
      <c r="G7" s="57"/>
      <c r="H7" s="57"/>
      <c r="I7" s="57"/>
      <c r="J7" s="57"/>
      <c r="K7" s="57"/>
    </row>
    <row r="8" ht="39" customHeight="1" spans="1:11">
      <c r="A8" s="67" t="s">
        <v>10</v>
      </c>
      <c r="B8" s="68"/>
      <c r="C8" s="68"/>
      <c r="D8" s="68"/>
      <c r="E8" s="68"/>
      <c r="F8" s="68"/>
      <c r="G8" s="68"/>
      <c r="H8" s="68"/>
      <c r="I8" s="68"/>
      <c r="J8" s="68"/>
      <c r="K8" s="81"/>
    </row>
    <row r="9" spans="1:11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</row>
    <row r="10" spans="1:11">
      <c r="A10" s="57" t="s">
        <v>11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</row>
    <row r="11" ht="22.5" customHeight="1" spans="1:11">
      <c r="A11" s="69" t="s">
        <v>12</v>
      </c>
      <c r="B11" s="70"/>
      <c r="C11" s="70"/>
      <c r="D11" s="70"/>
      <c r="E11" s="70"/>
      <c r="F11" s="70"/>
      <c r="G11" s="70"/>
      <c r="H11" s="70"/>
      <c r="I11" s="70"/>
      <c r="J11" s="70"/>
      <c r="K11" s="77"/>
    </row>
    <row r="12" ht="16.5" customHeight="1" spans="1:11">
      <c r="A12" s="71"/>
      <c r="B12" s="72"/>
      <c r="C12" s="72"/>
      <c r="D12" s="72"/>
      <c r="E12" s="72"/>
      <c r="F12" s="72"/>
      <c r="G12" s="72"/>
      <c r="H12" s="72"/>
      <c r="I12" s="72"/>
      <c r="J12" s="72"/>
      <c r="K12" s="78"/>
    </row>
    <row r="13" ht="10.5" customHeight="1" spans="1:11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</row>
    <row r="14" customHeight="1" spans="1:11">
      <c r="A14" s="57" t="s">
        <v>13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</row>
    <row r="15" ht="18.75" customHeight="1" spans="1:11">
      <c r="A15" s="69" t="s">
        <v>14</v>
      </c>
      <c r="B15" s="70"/>
      <c r="C15" s="70"/>
      <c r="D15" s="70"/>
      <c r="E15" s="70"/>
      <c r="F15" s="70"/>
      <c r="G15" s="70"/>
      <c r="H15" s="70"/>
      <c r="I15" s="70"/>
      <c r="J15" s="70"/>
      <c r="K15" s="77"/>
    </row>
    <row r="16" ht="11.25" customHeight="1" spans="1:11">
      <c r="A16" s="71"/>
      <c r="B16" s="72"/>
      <c r="C16" s="72"/>
      <c r="D16" s="72"/>
      <c r="E16" s="72"/>
      <c r="F16" s="72"/>
      <c r="G16" s="72"/>
      <c r="H16" s="72"/>
      <c r="I16" s="72"/>
      <c r="J16" s="72"/>
      <c r="K16" s="78"/>
    </row>
    <row r="17" ht="12" customHeight="1" spans="1:11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</row>
    <row r="18" spans="1:11">
      <c r="A18" s="58" t="s">
        <v>15</v>
      </c>
      <c r="B18" s="58"/>
      <c r="C18" s="58"/>
      <c r="D18" s="73"/>
      <c r="E18" s="58" t="s">
        <v>16</v>
      </c>
      <c r="F18" s="58"/>
      <c r="G18" s="58"/>
      <c r="H18" s="58"/>
      <c r="I18" s="58"/>
      <c r="J18" s="58"/>
      <c r="K18" s="58"/>
    </row>
    <row r="19" ht="66" customHeight="1" spans="1:11">
      <c r="A19" s="74" t="s">
        <v>17</v>
      </c>
      <c r="B19" s="75"/>
      <c r="C19" s="76"/>
      <c r="D19" s="62"/>
      <c r="E19" s="74" t="s">
        <v>18</v>
      </c>
      <c r="F19" s="75"/>
      <c r="G19" s="75"/>
      <c r="H19" s="75"/>
      <c r="I19" s="75"/>
      <c r="J19" s="75"/>
      <c r="K19" s="76"/>
    </row>
    <row r="20" ht="11.45" customHeight="1" spans="1:11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</row>
    <row r="21" ht="3" customHeight="1" spans="1:11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</row>
    <row r="22" spans="1:11">
      <c r="A22" s="58" t="s">
        <v>19</v>
      </c>
      <c r="B22" s="58"/>
      <c r="C22" s="58"/>
      <c r="D22" s="58"/>
      <c r="E22" s="58"/>
      <c r="F22" s="58"/>
      <c r="G22" s="58"/>
      <c r="H22" s="73"/>
      <c r="I22" s="58" t="s">
        <v>20</v>
      </c>
      <c r="J22" s="58"/>
      <c r="K22" s="58"/>
    </row>
    <row r="23" ht="30.6" customHeight="1" spans="1:11">
      <c r="A23" s="69" t="s">
        <v>21</v>
      </c>
      <c r="B23" s="70"/>
      <c r="C23" s="70"/>
      <c r="D23" s="70"/>
      <c r="E23" s="70"/>
      <c r="F23" s="70"/>
      <c r="G23" s="77"/>
      <c r="H23" s="73"/>
      <c r="I23" s="74" t="s">
        <v>22</v>
      </c>
      <c r="J23" s="75"/>
      <c r="K23" s="76"/>
    </row>
    <row r="24" ht="20.25" customHeight="1" spans="1:11">
      <c r="A24" s="71"/>
      <c r="B24" s="72"/>
      <c r="C24" s="72"/>
      <c r="D24" s="72"/>
      <c r="E24" s="72"/>
      <c r="F24" s="72"/>
      <c r="G24" s="78"/>
      <c r="H24" s="73"/>
      <c r="I24" s="82" t="s">
        <v>23</v>
      </c>
      <c r="J24" s="60" t="s">
        <v>24</v>
      </c>
      <c r="K24" s="61"/>
    </row>
    <row r="25" ht="15.75" customHeight="1" spans="1:8">
      <c r="A25" s="79"/>
      <c r="B25" s="79"/>
      <c r="C25" s="79"/>
      <c r="D25" s="79"/>
      <c r="E25" s="79"/>
      <c r="F25" s="79"/>
      <c r="G25" s="79"/>
      <c r="H25" s="73"/>
    </row>
    <row r="26" spans="1:11">
      <c r="A26" s="58" t="s">
        <v>25</v>
      </c>
      <c r="B26" s="58"/>
      <c r="C26" s="58"/>
      <c r="D26" s="58"/>
      <c r="E26" s="58"/>
      <c r="F26" s="58"/>
      <c r="G26" s="58"/>
      <c r="H26" s="73"/>
      <c r="I26" s="58" t="s">
        <v>26</v>
      </c>
      <c r="J26" s="58"/>
      <c r="K26" s="58"/>
    </row>
    <row r="27" ht="33" customHeight="1" spans="1:11">
      <c r="A27" s="74" t="s">
        <v>27</v>
      </c>
      <c r="B27" s="75"/>
      <c r="C27" s="75"/>
      <c r="D27" s="75"/>
      <c r="E27" s="75"/>
      <c r="F27" s="75"/>
      <c r="G27" s="76"/>
      <c r="H27" s="73"/>
      <c r="I27" s="74" t="s">
        <v>28</v>
      </c>
      <c r="J27" s="75"/>
      <c r="K27" s="76"/>
    </row>
    <row r="28" ht="28.5" customHeight="1" spans="1:11">
      <c r="A28" s="74" t="s">
        <v>29</v>
      </c>
      <c r="B28" s="75"/>
      <c r="C28" s="75" t="s">
        <v>30</v>
      </c>
      <c r="D28" s="75"/>
      <c r="E28" s="75"/>
      <c r="F28" s="75"/>
      <c r="G28" s="76"/>
      <c r="H28" s="73"/>
      <c r="I28" s="82" t="s">
        <v>23</v>
      </c>
      <c r="J28" s="60" t="s">
        <v>31</v>
      </c>
      <c r="K28" s="61"/>
    </row>
    <row r="29" spans="1:11">
      <c r="A29" s="73"/>
      <c r="B29" s="73"/>
      <c r="C29" s="73"/>
      <c r="D29" s="73"/>
      <c r="E29" s="73"/>
      <c r="F29" s="73"/>
      <c r="G29" s="73"/>
      <c r="H29" s="73"/>
      <c r="I29" s="62"/>
      <c r="J29" s="62"/>
      <c r="K29" s="62"/>
    </row>
    <row r="30" spans="1:11">
      <c r="A30" s="58" t="s">
        <v>32</v>
      </c>
      <c r="B30" s="58"/>
      <c r="C30" s="58"/>
      <c r="D30" s="58"/>
      <c r="E30" s="58"/>
      <c r="F30" s="58"/>
      <c r="G30" s="58"/>
      <c r="H30" s="73"/>
      <c r="I30" s="58" t="s">
        <v>33</v>
      </c>
      <c r="J30" s="58"/>
      <c r="K30" s="58"/>
    </row>
    <row r="31" spans="1:11">
      <c r="A31" s="59" t="s">
        <v>34</v>
      </c>
      <c r="B31" s="60"/>
      <c r="C31" s="60"/>
      <c r="D31" s="60"/>
      <c r="E31" s="60"/>
      <c r="F31" s="60"/>
      <c r="G31" s="61"/>
      <c r="H31" s="73"/>
      <c r="I31" s="59" t="s">
        <v>35</v>
      </c>
      <c r="J31" s="60"/>
      <c r="K31" s="61"/>
    </row>
    <row r="32" spans="1:11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3"/>
    </row>
    <row r="33" spans="1:11">
      <c r="A33" s="64" t="s">
        <v>36</v>
      </c>
      <c r="B33" s="64"/>
      <c r="C33" s="64"/>
      <c r="D33" s="73"/>
      <c r="E33" s="57" t="s">
        <v>37</v>
      </c>
      <c r="F33" s="57"/>
      <c r="G33" s="57"/>
      <c r="H33" s="73"/>
      <c r="I33" s="57" t="s">
        <v>38</v>
      </c>
      <c r="J33" s="57"/>
      <c r="K33" s="57"/>
    </row>
    <row r="34" spans="1:11">
      <c r="A34" s="59" t="s">
        <v>39</v>
      </c>
      <c r="B34" s="60"/>
      <c r="C34" s="61"/>
      <c r="D34" s="80"/>
      <c r="E34" s="59"/>
      <c r="F34" s="60"/>
      <c r="G34" s="61"/>
      <c r="H34" s="80"/>
      <c r="I34" s="59"/>
      <c r="J34" s="60"/>
      <c r="K34" s="61"/>
    </row>
  </sheetData>
  <mergeCells count="40">
    <mergeCell ref="A1:G1"/>
    <mergeCell ref="I1:K1"/>
    <mergeCell ref="A2:G2"/>
    <mergeCell ref="I2:K2"/>
    <mergeCell ref="B4:F4"/>
    <mergeCell ref="H4:K4"/>
    <mergeCell ref="B5:F5"/>
    <mergeCell ref="H5:K5"/>
    <mergeCell ref="A7:K7"/>
    <mergeCell ref="A8:K8"/>
    <mergeCell ref="A10:K10"/>
    <mergeCell ref="A14:K14"/>
    <mergeCell ref="A18:C18"/>
    <mergeCell ref="E18:K18"/>
    <mergeCell ref="A19:C19"/>
    <mergeCell ref="E19:K19"/>
    <mergeCell ref="A22:G22"/>
    <mergeCell ref="I22:K22"/>
    <mergeCell ref="I23:K23"/>
    <mergeCell ref="J24:K24"/>
    <mergeCell ref="A26:G26"/>
    <mergeCell ref="I26:K26"/>
    <mergeCell ref="A27:G27"/>
    <mergeCell ref="I27:K27"/>
    <mergeCell ref="A28:B28"/>
    <mergeCell ref="C28:G28"/>
    <mergeCell ref="J28:K28"/>
    <mergeCell ref="A30:G30"/>
    <mergeCell ref="I30:K30"/>
    <mergeCell ref="A31:G31"/>
    <mergeCell ref="I31:K31"/>
    <mergeCell ref="A33:C33"/>
    <mergeCell ref="E33:G33"/>
    <mergeCell ref="I33:K33"/>
    <mergeCell ref="A34:C34"/>
    <mergeCell ref="E34:G34"/>
    <mergeCell ref="I34:K34"/>
    <mergeCell ref="A15:K16"/>
    <mergeCell ref="A23:G24"/>
    <mergeCell ref="A11:K12"/>
  </mergeCells>
  <pageMargins left="0.708333333333333" right="0.708333333333333" top="1.53541666666667" bottom="0.747916666666667" header="0.314583333333333" footer="0.314583333333333"/>
  <pageSetup paperSize="1" scale="96" orientation="portrait" horizontalDpi="200" verticalDpi="200"/>
  <headerFooter>
    <oddHeader>&amp;L&amp;G&amp;C
&amp;16FICHA TÉCNICA DE INDICADOR&amp;R&amp;KFF0000FTI-V03.0</oddHeader>
    <oddFooter>&amp;C&amp;K04+0008 Avenida 20-59 zona 1 Centro cívico Guatemala PBX: 23743000 - Http://observatorio.minfin.gob.gt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31"/>
  <sheetViews>
    <sheetView showGridLines="0" workbookViewId="0">
      <selection activeCell="F11" sqref="F11"/>
    </sheetView>
  </sheetViews>
  <sheetFormatPr defaultColWidth="9" defaultRowHeight="15" outlineLevelCol="6"/>
  <cols>
    <col min="1" max="1" width="15.5714285714286" customWidth="1"/>
    <col min="2" max="2" width="16.2857142857143" customWidth="1"/>
    <col min="3" max="6" width="9.14285714285714" customWidth="1"/>
    <col min="7" max="7" width="11.2857142857143" customWidth="1"/>
  </cols>
  <sheetData>
    <row r="2" ht="21" spans="1:1">
      <c r="A2" s="15" t="s">
        <v>40</v>
      </c>
    </row>
    <row r="3" ht="21" spans="1:2">
      <c r="A3" s="15" t="s">
        <v>41</v>
      </c>
      <c r="B3" s="15" t="s">
        <v>24</v>
      </c>
    </row>
    <row r="5" spans="1:2">
      <c r="A5" t="s">
        <v>42</v>
      </c>
      <c r="B5" t="s">
        <v>43</v>
      </c>
    </row>
    <row r="7" spans="1:2">
      <c r="A7" t="s">
        <v>44</v>
      </c>
      <c r="B7" t="s">
        <v>45</v>
      </c>
    </row>
    <row r="8" spans="1:7">
      <c r="A8" t="s">
        <v>46</v>
      </c>
      <c r="B8">
        <v>2012</v>
      </c>
      <c r="C8">
        <v>2013</v>
      </c>
      <c r="D8">
        <v>2014</v>
      </c>
      <c r="E8">
        <v>2015</v>
      </c>
      <c r="F8">
        <v>2016</v>
      </c>
      <c r="G8" t="s">
        <v>47</v>
      </c>
    </row>
    <row r="9" spans="1:7">
      <c r="A9" s="18" t="s">
        <v>48</v>
      </c>
      <c r="B9" s="19">
        <v>85161</v>
      </c>
      <c r="C9" s="19">
        <v>84385</v>
      </c>
      <c r="D9" s="19">
        <v>83437</v>
      </c>
      <c r="E9" s="19">
        <v>83851</v>
      </c>
      <c r="F9" s="19">
        <v>84117</v>
      </c>
      <c r="G9" s="19">
        <v>420951</v>
      </c>
    </row>
    <row r="10" spans="1:7">
      <c r="A10" s="18" t="s">
        <v>49</v>
      </c>
      <c r="B10" s="19">
        <v>21119</v>
      </c>
      <c r="C10" s="19">
        <v>20306</v>
      </c>
      <c r="D10" s="19">
        <v>19941</v>
      </c>
      <c r="E10" s="19">
        <v>19811</v>
      </c>
      <c r="F10" s="19">
        <v>19239</v>
      </c>
      <c r="G10" s="19">
        <v>100416</v>
      </c>
    </row>
    <row r="11" spans="1:7">
      <c r="A11" s="18" t="s">
        <v>50</v>
      </c>
      <c r="B11" s="19">
        <v>44192</v>
      </c>
      <c r="C11" s="19">
        <v>43313</v>
      </c>
      <c r="D11" s="19">
        <v>42588</v>
      </c>
      <c r="E11" s="19">
        <v>42309</v>
      </c>
      <c r="F11" s="19">
        <v>41893</v>
      </c>
      <c r="G11" s="19">
        <v>214295</v>
      </c>
    </row>
    <row r="12" spans="1:7">
      <c r="A12" s="18" t="s">
        <v>51</v>
      </c>
      <c r="B12" s="19">
        <v>29420</v>
      </c>
      <c r="C12" s="19">
        <v>28632</v>
      </c>
      <c r="D12" s="19">
        <v>28318</v>
      </c>
      <c r="E12" s="19">
        <v>28456</v>
      </c>
      <c r="F12" s="19">
        <v>27583</v>
      </c>
      <c r="G12" s="19">
        <v>142409</v>
      </c>
    </row>
    <row r="13" spans="1:7">
      <c r="A13" s="18" t="s">
        <v>52</v>
      </c>
      <c r="B13" s="19">
        <v>12003</v>
      </c>
      <c r="C13" s="19">
        <v>11515</v>
      </c>
      <c r="D13" s="19">
        <v>11178</v>
      </c>
      <c r="E13" s="19">
        <v>10977</v>
      </c>
      <c r="F13" s="19">
        <v>10856</v>
      </c>
      <c r="G13" s="19">
        <v>56529</v>
      </c>
    </row>
    <row r="14" spans="1:7">
      <c r="A14" s="18" t="s">
        <v>53</v>
      </c>
      <c r="B14" s="19">
        <v>48584</v>
      </c>
      <c r="C14" s="19">
        <v>47512</v>
      </c>
      <c r="D14" s="19">
        <v>46483</v>
      </c>
      <c r="E14" s="19">
        <v>46541</v>
      </c>
      <c r="F14" s="19">
        <v>46670</v>
      </c>
      <c r="G14" s="19">
        <v>235790</v>
      </c>
    </row>
    <row r="15" spans="1:7">
      <c r="A15" s="18" t="s">
        <v>54</v>
      </c>
      <c r="B15" s="19">
        <v>197115</v>
      </c>
      <c r="C15" s="19">
        <v>193253</v>
      </c>
      <c r="D15" s="19">
        <v>191688</v>
      </c>
      <c r="E15" s="19">
        <v>192638</v>
      </c>
      <c r="F15" s="19">
        <v>193464</v>
      </c>
      <c r="G15" s="19">
        <v>968158</v>
      </c>
    </row>
    <row r="16" spans="1:7">
      <c r="A16" s="18" t="s">
        <v>55</v>
      </c>
      <c r="B16" s="19">
        <v>92683</v>
      </c>
      <c r="C16" s="19">
        <v>90458</v>
      </c>
      <c r="D16" s="19">
        <v>88786</v>
      </c>
      <c r="E16" s="19">
        <v>87662</v>
      </c>
      <c r="F16" s="19">
        <v>85323</v>
      </c>
      <c r="G16" s="19">
        <v>444912</v>
      </c>
    </row>
    <row r="17" spans="1:7">
      <c r="A17" s="18" t="s">
        <v>56</v>
      </c>
      <c r="B17" s="19">
        <v>30444</v>
      </c>
      <c r="C17" s="19">
        <v>29570</v>
      </c>
      <c r="D17" s="19">
        <v>27991</v>
      </c>
      <c r="E17" s="19">
        <v>27670</v>
      </c>
      <c r="F17" s="19">
        <v>27096</v>
      </c>
      <c r="G17" s="19">
        <v>142771</v>
      </c>
    </row>
    <row r="18" spans="1:7">
      <c r="A18" s="18" t="s">
        <v>57</v>
      </c>
      <c r="B18" s="19">
        <v>25353</v>
      </c>
      <c r="C18" s="19">
        <v>24803</v>
      </c>
      <c r="D18" s="19">
        <v>24130</v>
      </c>
      <c r="E18" s="19">
        <v>24119</v>
      </c>
      <c r="F18" s="19">
        <v>23446</v>
      </c>
      <c r="G18" s="19">
        <v>121851</v>
      </c>
    </row>
    <row r="19" spans="1:7">
      <c r="A19" s="18" t="s">
        <v>58</v>
      </c>
      <c r="B19" s="19">
        <v>34993</v>
      </c>
      <c r="C19" s="19">
        <v>33729</v>
      </c>
      <c r="D19" s="19">
        <v>32465</v>
      </c>
      <c r="E19" s="19">
        <v>31658</v>
      </c>
      <c r="F19" s="19">
        <v>31141</v>
      </c>
      <c r="G19" s="19">
        <v>163986</v>
      </c>
    </row>
    <row r="20" spans="1:7">
      <c r="A20" s="18" t="s">
        <v>59</v>
      </c>
      <c r="B20" s="19">
        <v>41975</v>
      </c>
      <c r="C20" s="19">
        <v>40019</v>
      </c>
      <c r="D20" s="19">
        <v>38581</v>
      </c>
      <c r="E20" s="19">
        <v>38596</v>
      </c>
      <c r="F20" s="19">
        <v>38437</v>
      </c>
      <c r="G20" s="19">
        <v>197608</v>
      </c>
    </row>
    <row r="21" spans="1:7">
      <c r="A21" s="18" t="s">
        <v>60</v>
      </c>
      <c r="B21" s="19">
        <v>59543</v>
      </c>
      <c r="C21" s="19">
        <v>58079</v>
      </c>
      <c r="D21" s="19">
        <v>56212</v>
      </c>
      <c r="E21" s="19">
        <v>54713</v>
      </c>
      <c r="F21" s="19">
        <v>52953</v>
      </c>
      <c r="G21" s="19">
        <v>281500</v>
      </c>
    </row>
    <row r="22" spans="1:7">
      <c r="A22" s="18" t="s">
        <v>61</v>
      </c>
      <c r="B22" s="19">
        <v>75859</v>
      </c>
      <c r="C22" s="19">
        <v>75049</v>
      </c>
      <c r="D22" s="19">
        <v>73132</v>
      </c>
      <c r="E22" s="19">
        <v>72493</v>
      </c>
      <c r="F22" s="19">
        <v>70779</v>
      </c>
      <c r="G22" s="19">
        <v>367312</v>
      </c>
    </row>
    <row r="23" spans="1:7">
      <c r="A23" s="18" t="s">
        <v>62</v>
      </c>
      <c r="B23" s="19">
        <v>23546</v>
      </c>
      <c r="C23" s="19">
        <v>22810</v>
      </c>
      <c r="D23" s="19">
        <v>22054</v>
      </c>
      <c r="E23" s="19">
        <v>21835</v>
      </c>
      <c r="F23" s="19">
        <v>21440</v>
      </c>
      <c r="G23" s="19">
        <v>111685</v>
      </c>
    </row>
    <row r="24" spans="1:7">
      <c r="A24" s="18" t="s">
        <v>63</v>
      </c>
      <c r="B24" s="19">
        <v>21543</v>
      </c>
      <c r="C24" s="19">
        <v>21072</v>
      </c>
      <c r="D24" s="19">
        <v>20897</v>
      </c>
      <c r="E24" s="19">
        <v>20890</v>
      </c>
      <c r="F24" s="19">
        <v>20929</v>
      </c>
      <c r="G24" s="19">
        <v>105331</v>
      </c>
    </row>
    <row r="25" spans="1:7">
      <c r="A25" s="18" t="s">
        <v>64</v>
      </c>
      <c r="B25" s="19">
        <v>82952</v>
      </c>
      <c r="C25" s="19">
        <v>81035</v>
      </c>
      <c r="D25" s="19">
        <v>79277</v>
      </c>
      <c r="E25" s="19">
        <v>77599</v>
      </c>
      <c r="F25" s="19">
        <v>75601</v>
      </c>
      <c r="G25" s="19">
        <v>396464</v>
      </c>
    </row>
    <row r="26" spans="1:7">
      <c r="A26" s="18" t="s">
        <v>65</v>
      </c>
      <c r="B26" s="19">
        <v>27197</v>
      </c>
      <c r="C26" s="19">
        <v>26313</v>
      </c>
      <c r="D26" s="19">
        <v>25463</v>
      </c>
      <c r="E26" s="19">
        <v>25310</v>
      </c>
      <c r="F26" s="19">
        <v>24955</v>
      </c>
      <c r="G26" s="19">
        <v>129238</v>
      </c>
    </row>
    <row r="27" spans="1:7">
      <c r="A27" s="18" t="s">
        <v>66</v>
      </c>
      <c r="B27" s="19">
        <v>30783</v>
      </c>
      <c r="C27" s="19">
        <v>30150</v>
      </c>
      <c r="D27" s="19">
        <v>29717</v>
      </c>
      <c r="E27" s="19">
        <v>29313</v>
      </c>
      <c r="F27" s="19">
        <v>28649</v>
      </c>
      <c r="G27" s="19">
        <v>148612</v>
      </c>
    </row>
    <row r="28" spans="1:7">
      <c r="A28" s="18" t="s">
        <v>67</v>
      </c>
      <c r="B28" s="19">
        <v>39563</v>
      </c>
      <c r="C28" s="19">
        <v>38987</v>
      </c>
      <c r="D28" s="19">
        <v>37881</v>
      </c>
      <c r="E28" s="19">
        <v>37574</v>
      </c>
      <c r="F28" s="19">
        <v>37016</v>
      </c>
      <c r="G28" s="19">
        <v>191021</v>
      </c>
    </row>
    <row r="29" spans="1:7">
      <c r="A29" s="18" t="s">
        <v>68</v>
      </c>
      <c r="B29" s="19">
        <v>33588</v>
      </c>
      <c r="C29" s="19">
        <v>32843</v>
      </c>
      <c r="D29" s="19">
        <v>32047</v>
      </c>
      <c r="E29" s="19">
        <v>30995</v>
      </c>
      <c r="F29" s="19">
        <v>29985</v>
      </c>
      <c r="G29" s="19">
        <v>159458</v>
      </c>
    </row>
    <row r="30" spans="1:7">
      <c r="A30" s="18" t="s">
        <v>69</v>
      </c>
      <c r="B30" s="19">
        <v>17157</v>
      </c>
      <c r="C30" s="19">
        <v>16638</v>
      </c>
      <c r="D30" s="19">
        <v>15986</v>
      </c>
      <c r="E30" s="19">
        <v>15680</v>
      </c>
      <c r="F30" s="19">
        <v>15531</v>
      </c>
      <c r="G30" s="19">
        <v>80992</v>
      </c>
    </row>
    <row r="31" spans="1:7">
      <c r="A31" s="18" t="s">
        <v>47</v>
      </c>
      <c r="B31" s="19">
        <v>1074773</v>
      </c>
      <c r="C31" s="19">
        <v>1050471</v>
      </c>
      <c r="D31" s="19">
        <v>1028252</v>
      </c>
      <c r="E31" s="19">
        <v>1020690</v>
      </c>
      <c r="F31" s="19">
        <v>1007103</v>
      </c>
      <c r="G31" s="19">
        <v>5181289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31"/>
  <sheetViews>
    <sheetView showGridLines="0" workbookViewId="0">
      <selection activeCell="A2" sqref="A2:A3"/>
    </sheetView>
  </sheetViews>
  <sheetFormatPr defaultColWidth="9" defaultRowHeight="15" outlineLevelCol="6"/>
  <cols>
    <col min="1" max="1" width="15.5714285714286" customWidth="1"/>
    <col min="2" max="2" width="16.2857142857143" customWidth="1"/>
    <col min="3" max="6" width="10.5714285714286" customWidth="1"/>
    <col min="7" max="7" width="11.2857142857143" customWidth="1"/>
  </cols>
  <sheetData>
    <row r="2" ht="21" spans="1:1">
      <c r="A2" s="15" t="s">
        <v>70</v>
      </c>
    </row>
    <row r="3" ht="21" spans="1:2">
      <c r="A3" s="15" t="s">
        <v>71</v>
      </c>
      <c r="B3" s="15" t="s">
        <v>31</v>
      </c>
    </row>
    <row r="5" spans="1:2">
      <c r="A5" t="s">
        <v>42</v>
      </c>
      <c r="B5" t="s">
        <v>43</v>
      </c>
    </row>
    <row r="7" spans="1:2">
      <c r="A7" t="s">
        <v>44</v>
      </c>
      <c r="B7" t="s">
        <v>45</v>
      </c>
    </row>
    <row r="8" spans="1:7">
      <c r="A8" t="s">
        <v>46</v>
      </c>
      <c r="B8">
        <v>2012</v>
      </c>
      <c r="C8">
        <v>2013</v>
      </c>
      <c r="D8">
        <v>2014</v>
      </c>
      <c r="E8">
        <v>2015</v>
      </c>
      <c r="F8">
        <v>2016</v>
      </c>
      <c r="G8" t="s">
        <v>47</v>
      </c>
    </row>
    <row r="9" spans="1:7">
      <c r="A9" s="18" t="s">
        <v>48</v>
      </c>
      <c r="B9" s="55">
        <v>103498</v>
      </c>
      <c r="C9" s="55">
        <v>106168</v>
      </c>
      <c r="D9" s="55">
        <v>105141</v>
      </c>
      <c r="E9" s="55">
        <v>106779</v>
      </c>
      <c r="F9" s="55">
        <v>108470</v>
      </c>
      <c r="G9" s="55">
        <v>530056</v>
      </c>
    </row>
    <row r="10" spans="1:7">
      <c r="A10" s="18" t="s">
        <v>49</v>
      </c>
      <c r="B10" s="55">
        <v>23549</v>
      </c>
      <c r="C10" s="55">
        <v>23903</v>
      </c>
      <c r="D10" s="55">
        <v>24312</v>
      </c>
      <c r="E10" s="55">
        <v>24746</v>
      </c>
      <c r="F10" s="55">
        <v>25174</v>
      </c>
      <c r="G10" s="55">
        <v>121684</v>
      </c>
    </row>
    <row r="11" spans="1:7">
      <c r="A11" s="18" t="s">
        <v>50</v>
      </c>
      <c r="B11" s="55">
        <v>53800</v>
      </c>
      <c r="C11" s="55">
        <v>55352</v>
      </c>
      <c r="D11" s="55">
        <v>57038</v>
      </c>
      <c r="E11" s="55">
        <v>58471</v>
      </c>
      <c r="F11" s="55">
        <v>59694</v>
      </c>
      <c r="G11" s="55">
        <v>284355</v>
      </c>
    </row>
    <row r="12" spans="1:7">
      <c r="A12" s="18" t="s">
        <v>51</v>
      </c>
      <c r="B12" s="55">
        <v>32116</v>
      </c>
      <c r="C12" s="55">
        <v>32717</v>
      </c>
      <c r="D12" s="55">
        <v>32907</v>
      </c>
      <c r="E12" s="55">
        <v>33352</v>
      </c>
      <c r="F12" s="55">
        <v>33757</v>
      </c>
      <c r="G12" s="55">
        <v>164849</v>
      </c>
    </row>
    <row r="13" spans="1:7">
      <c r="A13" s="18" t="s">
        <v>52</v>
      </c>
      <c r="B13" s="55">
        <v>12122</v>
      </c>
      <c r="C13" s="55">
        <v>12193</v>
      </c>
      <c r="D13" s="55">
        <v>12235</v>
      </c>
      <c r="E13" s="55">
        <v>12341</v>
      </c>
      <c r="F13" s="55">
        <v>12428</v>
      </c>
      <c r="G13" s="55">
        <v>61319</v>
      </c>
    </row>
    <row r="14" spans="1:7">
      <c r="A14" s="18" t="s">
        <v>53</v>
      </c>
      <c r="B14" s="55">
        <v>51947</v>
      </c>
      <c r="C14" s="55">
        <v>52414</v>
      </c>
      <c r="D14" s="55">
        <v>52423</v>
      </c>
      <c r="E14" s="55">
        <v>52924</v>
      </c>
      <c r="F14" s="55">
        <v>53416</v>
      </c>
      <c r="G14" s="55">
        <v>263124</v>
      </c>
    </row>
    <row r="15" spans="1:7">
      <c r="A15" s="18" t="s">
        <v>54</v>
      </c>
      <c r="B15" s="55">
        <v>211210</v>
      </c>
      <c r="C15" s="55">
        <v>212590</v>
      </c>
      <c r="D15" s="55">
        <v>208436</v>
      </c>
      <c r="E15" s="55">
        <v>207719</v>
      </c>
      <c r="F15" s="55">
        <v>206874</v>
      </c>
      <c r="G15" s="55">
        <v>1046829</v>
      </c>
    </row>
    <row r="16" spans="1:7">
      <c r="A16" s="18" t="s">
        <v>55</v>
      </c>
      <c r="B16" s="55">
        <v>100102</v>
      </c>
      <c r="C16" s="55">
        <v>102270</v>
      </c>
      <c r="D16" s="55">
        <v>105510</v>
      </c>
      <c r="E16" s="55">
        <v>108051</v>
      </c>
      <c r="F16" s="55">
        <v>109765</v>
      </c>
      <c r="G16" s="55">
        <v>525698</v>
      </c>
    </row>
    <row r="17" spans="1:7">
      <c r="A17" s="18" t="s">
        <v>56</v>
      </c>
      <c r="B17" s="55">
        <v>34793</v>
      </c>
      <c r="C17" s="55">
        <v>35355</v>
      </c>
      <c r="D17" s="55">
        <v>35254</v>
      </c>
      <c r="E17" s="55">
        <v>35666</v>
      </c>
      <c r="F17" s="55">
        <v>36104</v>
      </c>
      <c r="G17" s="55">
        <v>177172</v>
      </c>
    </row>
    <row r="18" spans="1:7">
      <c r="A18" s="18" t="s">
        <v>57</v>
      </c>
      <c r="B18" s="55">
        <v>28701</v>
      </c>
      <c r="C18" s="55">
        <v>29469</v>
      </c>
      <c r="D18" s="55">
        <v>30404</v>
      </c>
      <c r="E18" s="55">
        <v>31137</v>
      </c>
      <c r="F18" s="55">
        <v>31787</v>
      </c>
      <c r="G18" s="55">
        <v>151498</v>
      </c>
    </row>
    <row r="19" spans="1:7">
      <c r="A19" s="18" t="s">
        <v>58</v>
      </c>
      <c r="B19" s="55">
        <v>36137</v>
      </c>
      <c r="C19" s="55">
        <v>36446</v>
      </c>
      <c r="D19" s="55">
        <v>38244</v>
      </c>
      <c r="E19" s="55">
        <v>38959</v>
      </c>
      <c r="F19" s="55">
        <v>39547</v>
      </c>
      <c r="G19" s="55">
        <v>189333</v>
      </c>
    </row>
    <row r="20" spans="1:7">
      <c r="A20" s="18" t="s">
        <v>59</v>
      </c>
      <c r="B20" s="55">
        <v>57182</v>
      </c>
      <c r="C20" s="55">
        <v>59521</v>
      </c>
      <c r="D20" s="55">
        <v>62127</v>
      </c>
      <c r="E20" s="55">
        <v>64483</v>
      </c>
      <c r="F20" s="55">
        <v>66507</v>
      </c>
      <c r="G20" s="55">
        <v>309820</v>
      </c>
    </row>
    <row r="21" spans="1:7">
      <c r="A21" s="18" t="s">
        <v>60</v>
      </c>
      <c r="B21" s="55">
        <v>62290</v>
      </c>
      <c r="C21" s="55">
        <v>63359</v>
      </c>
      <c r="D21" s="55">
        <v>65847</v>
      </c>
      <c r="E21" s="55">
        <v>67269</v>
      </c>
      <c r="F21" s="55">
        <v>68482</v>
      </c>
      <c r="G21" s="55">
        <v>327247</v>
      </c>
    </row>
    <row r="22" spans="1:7">
      <c r="A22" s="18" t="s">
        <v>61</v>
      </c>
      <c r="B22" s="55">
        <v>90430</v>
      </c>
      <c r="C22" s="55">
        <v>93496</v>
      </c>
      <c r="D22" s="55">
        <v>97380</v>
      </c>
      <c r="E22" s="55">
        <v>100438</v>
      </c>
      <c r="F22" s="55">
        <v>103222</v>
      </c>
      <c r="G22" s="55">
        <v>484966</v>
      </c>
    </row>
    <row r="23" spans="1:7">
      <c r="A23" s="18" t="s">
        <v>62</v>
      </c>
      <c r="B23" s="55">
        <v>23814</v>
      </c>
      <c r="C23" s="55">
        <v>24051</v>
      </c>
      <c r="D23" s="55">
        <v>24595</v>
      </c>
      <c r="E23" s="55">
        <v>25019</v>
      </c>
      <c r="F23" s="55">
        <v>25425</v>
      </c>
      <c r="G23" s="55">
        <v>122904</v>
      </c>
    </row>
    <row r="24" spans="1:7">
      <c r="A24" s="18" t="s">
        <v>63</v>
      </c>
      <c r="B24" s="55">
        <v>24070</v>
      </c>
      <c r="C24" s="55">
        <v>24422</v>
      </c>
      <c r="D24" s="55">
        <v>25859</v>
      </c>
      <c r="E24" s="55">
        <v>24640</v>
      </c>
      <c r="F24" s="55">
        <v>24817</v>
      </c>
      <c r="G24" s="55">
        <v>123808</v>
      </c>
    </row>
    <row r="25" spans="1:7">
      <c r="A25" s="18" t="s">
        <v>64</v>
      </c>
      <c r="B25" s="55">
        <v>85080</v>
      </c>
      <c r="C25" s="55">
        <v>86079</v>
      </c>
      <c r="D25" s="55">
        <v>87305</v>
      </c>
      <c r="E25" s="55">
        <v>88539</v>
      </c>
      <c r="F25" s="55">
        <v>89687</v>
      </c>
      <c r="G25" s="55">
        <v>436690</v>
      </c>
    </row>
    <row r="26" spans="1:7">
      <c r="A26" s="18" t="s">
        <v>65</v>
      </c>
      <c r="B26" s="55">
        <v>27752</v>
      </c>
      <c r="C26" s="55">
        <v>27957</v>
      </c>
      <c r="D26" s="55">
        <v>28276</v>
      </c>
      <c r="E26" s="55">
        <v>28617</v>
      </c>
      <c r="F26" s="55">
        <v>28940</v>
      </c>
      <c r="G26" s="55">
        <v>141542</v>
      </c>
    </row>
    <row r="27" spans="1:7">
      <c r="A27" s="18" t="s">
        <v>66</v>
      </c>
      <c r="B27" s="55">
        <v>38419</v>
      </c>
      <c r="C27" s="55">
        <v>39888</v>
      </c>
      <c r="D27" s="55">
        <v>42206</v>
      </c>
      <c r="E27" s="55">
        <v>43633</v>
      </c>
      <c r="F27" s="55">
        <v>44780</v>
      </c>
      <c r="G27" s="55">
        <v>208926</v>
      </c>
    </row>
    <row r="28" spans="1:7">
      <c r="A28" s="18" t="s">
        <v>67</v>
      </c>
      <c r="B28" s="55">
        <v>42455</v>
      </c>
      <c r="C28" s="55">
        <v>43072</v>
      </c>
      <c r="D28" s="55">
        <v>43741</v>
      </c>
      <c r="E28" s="55">
        <v>44489</v>
      </c>
      <c r="F28" s="55">
        <v>45209</v>
      </c>
      <c r="G28" s="55">
        <v>218966</v>
      </c>
    </row>
    <row r="29" spans="1:7">
      <c r="A29" s="18" t="s">
        <v>68</v>
      </c>
      <c r="B29" s="55">
        <v>42226</v>
      </c>
      <c r="C29" s="55">
        <v>43960</v>
      </c>
      <c r="D29" s="55">
        <v>47394</v>
      </c>
      <c r="E29" s="55">
        <v>49227</v>
      </c>
      <c r="F29" s="55">
        <v>50750</v>
      </c>
      <c r="G29" s="55">
        <v>233557</v>
      </c>
    </row>
    <row r="30" spans="1:7">
      <c r="A30" s="18" t="s">
        <v>69</v>
      </c>
      <c r="B30" s="55">
        <v>17316</v>
      </c>
      <c r="C30" s="55">
        <v>17339</v>
      </c>
      <c r="D30" s="55">
        <v>16899</v>
      </c>
      <c r="E30" s="55">
        <v>16872</v>
      </c>
      <c r="F30" s="55">
        <v>16874</v>
      </c>
      <c r="G30" s="55">
        <v>85300</v>
      </c>
    </row>
    <row r="31" spans="1:7">
      <c r="A31" s="18" t="s">
        <v>47</v>
      </c>
      <c r="B31" s="55">
        <v>1199009</v>
      </c>
      <c r="C31" s="55">
        <v>1222021</v>
      </c>
      <c r="D31" s="55">
        <v>1243533</v>
      </c>
      <c r="E31" s="55">
        <v>1263371</v>
      </c>
      <c r="F31" s="55">
        <v>1281709</v>
      </c>
      <c r="G31" s="55">
        <v>6209643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30"/>
  <sheetViews>
    <sheetView showGridLines="0" workbookViewId="0">
      <selection activeCell="C10" sqref="C10"/>
    </sheetView>
  </sheetViews>
  <sheetFormatPr defaultColWidth="9" defaultRowHeight="15" outlineLevelCol="5"/>
  <cols>
    <col min="1" max="1" width="15.4285714285714" customWidth="1"/>
    <col min="2" max="2" width="18.4285714285714" customWidth="1"/>
    <col min="3" max="3" width="18.8571428571429" customWidth="1"/>
    <col min="4" max="5" width="18.4285714285714" customWidth="1"/>
    <col min="6" max="6" width="19" customWidth="1"/>
  </cols>
  <sheetData>
    <row r="2" ht="23.25" spans="1:1">
      <c r="A2" s="54" t="s">
        <v>72</v>
      </c>
    </row>
    <row r="3" ht="23.25" spans="1:1">
      <c r="A3" s="54" t="s">
        <v>73</v>
      </c>
    </row>
    <row r="4" ht="23.25" spans="1:1">
      <c r="A4" s="54" t="s">
        <v>74</v>
      </c>
    </row>
    <row r="7" spans="1:6">
      <c r="A7" s="16" t="s">
        <v>75</v>
      </c>
      <c r="B7" s="16">
        <v>2012</v>
      </c>
      <c r="C7" s="16">
        <v>2013</v>
      </c>
      <c r="D7" s="16">
        <v>2014</v>
      </c>
      <c r="E7" s="16">
        <v>2015</v>
      </c>
      <c r="F7" s="16">
        <v>2016</v>
      </c>
    </row>
    <row r="8" spans="1:6">
      <c r="A8" s="18" t="s">
        <v>48</v>
      </c>
      <c r="B8" s="47">
        <v>413761644.87</v>
      </c>
      <c r="C8" s="47">
        <v>458920917.07</v>
      </c>
      <c r="D8" s="47">
        <v>511495541.04</v>
      </c>
      <c r="E8" s="47">
        <v>572075506.93</v>
      </c>
      <c r="F8" s="47">
        <v>592123344.84</v>
      </c>
    </row>
    <row r="9" spans="1:6">
      <c r="A9" s="18" t="s">
        <v>49</v>
      </c>
      <c r="B9" s="47">
        <v>132285407.8</v>
      </c>
      <c r="C9" s="47">
        <v>146756694.97</v>
      </c>
      <c r="D9" s="47">
        <v>162878175.55</v>
      </c>
      <c r="E9" s="47">
        <v>181508017</v>
      </c>
      <c r="F9" s="47">
        <v>180623727.01</v>
      </c>
    </row>
    <row r="10" spans="1:6">
      <c r="A10" s="18" t="s">
        <v>50</v>
      </c>
      <c r="B10" s="47">
        <v>200477927.15</v>
      </c>
      <c r="C10" s="47">
        <v>215733749.79</v>
      </c>
      <c r="D10" s="47">
        <v>242876605.1</v>
      </c>
      <c r="E10" s="47">
        <v>275038676.92</v>
      </c>
      <c r="F10" s="47">
        <v>280447993.79</v>
      </c>
    </row>
    <row r="11" spans="1:6">
      <c r="A11" s="18" t="s">
        <v>51</v>
      </c>
      <c r="B11" s="47">
        <v>178115328.71</v>
      </c>
      <c r="C11" s="47">
        <v>183027742.29</v>
      </c>
      <c r="D11" s="47">
        <v>201983821.39</v>
      </c>
      <c r="E11" s="47">
        <v>225954413.65</v>
      </c>
      <c r="F11" s="47">
        <v>227389496.04</v>
      </c>
    </row>
    <row r="12" spans="1:6">
      <c r="A12" s="18" t="s">
        <v>52</v>
      </c>
      <c r="B12" s="47">
        <v>67302905.19</v>
      </c>
      <c r="C12" s="47">
        <v>70497073.74</v>
      </c>
      <c r="D12" s="47">
        <v>76550382.48</v>
      </c>
      <c r="E12" s="47">
        <v>84891503.62</v>
      </c>
      <c r="F12" s="47">
        <v>85441774.76</v>
      </c>
    </row>
    <row r="13" spans="1:6">
      <c r="A13" s="18" t="s">
        <v>53</v>
      </c>
      <c r="B13" s="47">
        <v>238130503.35</v>
      </c>
      <c r="C13" s="47">
        <v>249655590.5</v>
      </c>
      <c r="D13" s="47">
        <v>274397351.8</v>
      </c>
      <c r="E13" s="47">
        <v>305262911.93</v>
      </c>
      <c r="F13" s="47">
        <v>307973670.51</v>
      </c>
    </row>
    <row r="14" spans="1:6">
      <c r="A14" s="18" t="s">
        <v>54</v>
      </c>
      <c r="B14" s="47">
        <v>666960547.31</v>
      </c>
      <c r="C14" s="47">
        <v>717515007.49</v>
      </c>
      <c r="D14" s="47">
        <v>800724866.53</v>
      </c>
      <c r="E14" s="47">
        <v>867415490.19</v>
      </c>
      <c r="F14" s="47">
        <v>874157361.64</v>
      </c>
    </row>
    <row r="15" spans="1:6">
      <c r="A15" s="18" t="s">
        <v>55</v>
      </c>
      <c r="B15" s="47">
        <v>449923399.07</v>
      </c>
      <c r="C15" s="47">
        <v>482903766.19</v>
      </c>
      <c r="D15" s="47">
        <v>537849280.34</v>
      </c>
      <c r="E15" s="47">
        <v>596166794.13</v>
      </c>
      <c r="F15" s="47">
        <v>604282182.07</v>
      </c>
    </row>
    <row r="16" spans="1:6">
      <c r="A16" s="18" t="s">
        <v>56</v>
      </c>
      <c r="B16" s="47">
        <v>172003828.46</v>
      </c>
      <c r="C16" s="47">
        <v>180551531.91</v>
      </c>
      <c r="D16" s="47">
        <v>200321962.93</v>
      </c>
      <c r="E16" s="47">
        <v>224600690.61</v>
      </c>
      <c r="F16" s="47">
        <v>228723722.47</v>
      </c>
    </row>
    <row r="17" spans="1:6">
      <c r="A17" s="18" t="s">
        <v>57</v>
      </c>
      <c r="B17" s="47">
        <v>130709973.95</v>
      </c>
      <c r="C17" s="47">
        <v>143821315.23</v>
      </c>
      <c r="D17" s="47">
        <v>156936498.44</v>
      </c>
      <c r="E17" s="47">
        <v>173428461.9</v>
      </c>
      <c r="F17" s="47">
        <v>177218984.12</v>
      </c>
    </row>
    <row r="18" spans="1:6">
      <c r="A18" s="18" t="s">
        <v>58</v>
      </c>
      <c r="B18" s="47">
        <v>191961086.99</v>
      </c>
      <c r="C18" s="47">
        <v>206232963.32</v>
      </c>
      <c r="D18" s="47">
        <v>227891773.8</v>
      </c>
      <c r="E18" s="47">
        <v>252749203.12</v>
      </c>
      <c r="F18" s="47">
        <v>255506485.22</v>
      </c>
    </row>
    <row r="19" spans="1:6">
      <c r="A19" s="18" t="s">
        <v>59</v>
      </c>
      <c r="B19" s="47">
        <v>263795839.29</v>
      </c>
      <c r="C19" s="47">
        <v>279291702.14</v>
      </c>
      <c r="D19" s="47">
        <v>312883606.47</v>
      </c>
      <c r="E19" s="47">
        <v>350441091.93</v>
      </c>
      <c r="F19" s="47">
        <v>357471685.88</v>
      </c>
    </row>
    <row r="20" spans="1:6">
      <c r="A20" s="18" t="s">
        <v>60</v>
      </c>
      <c r="B20" s="47">
        <v>309275792.15</v>
      </c>
      <c r="C20" s="47">
        <v>330487405.21</v>
      </c>
      <c r="D20" s="47">
        <v>366855976.8</v>
      </c>
      <c r="E20" s="47">
        <v>410993038.15</v>
      </c>
      <c r="F20" s="47">
        <v>413318050.16</v>
      </c>
    </row>
    <row r="21" spans="1:6">
      <c r="A21" s="18" t="s">
        <v>61</v>
      </c>
      <c r="B21" s="47">
        <v>401603902.22</v>
      </c>
      <c r="C21" s="47">
        <v>441552626.25</v>
      </c>
      <c r="D21" s="47">
        <v>493620579.15</v>
      </c>
      <c r="E21" s="47">
        <v>553161511.3</v>
      </c>
      <c r="F21" s="47">
        <v>569331504.4</v>
      </c>
    </row>
    <row r="22" spans="1:6">
      <c r="A22" s="18" t="s">
        <v>62</v>
      </c>
      <c r="B22" s="47">
        <v>142361327.19</v>
      </c>
      <c r="C22" s="47">
        <v>152624881.1</v>
      </c>
      <c r="D22" s="47">
        <v>171340667.4</v>
      </c>
      <c r="E22" s="47">
        <v>192432107.74</v>
      </c>
      <c r="F22" s="47">
        <v>196060476.53</v>
      </c>
    </row>
    <row r="23" spans="1:6">
      <c r="A23" s="18" t="s">
        <v>63</v>
      </c>
      <c r="B23" s="47">
        <v>80051213.14</v>
      </c>
      <c r="C23" s="47">
        <v>86658583.22</v>
      </c>
      <c r="D23" s="47">
        <v>95112816.35</v>
      </c>
      <c r="E23" s="47">
        <v>105746516.66</v>
      </c>
      <c r="F23" s="47">
        <v>106585749.17</v>
      </c>
    </row>
    <row r="24" spans="1:6">
      <c r="A24" s="18" t="s">
        <v>64</v>
      </c>
      <c r="B24" s="47">
        <v>436212252.1</v>
      </c>
      <c r="C24" s="47">
        <v>474486173.77</v>
      </c>
      <c r="D24" s="47">
        <v>526839778.94</v>
      </c>
      <c r="E24" s="47">
        <v>588442350.41</v>
      </c>
      <c r="F24" s="47">
        <v>600945517.89</v>
      </c>
    </row>
    <row r="25" spans="1:6">
      <c r="A25" s="18" t="s">
        <v>65</v>
      </c>
      <c r="B25" s="47">
        <v>151572644.12</v>
      </c>
      <c r="C25" s="47">
        <v>161481386.76</v>
      </c>
      <c r="D25" s="47">
        <v>179337834.57</v>
      </c>
      <c r="E25" s="47">
        <v>200046136.24</v>
      </c>
      <c r="F25" s="47">
        <v>203192037.33</v>
      </c>
    </row>
    <row r="26" spans="1:6">
      <c r="A26" s="18" t="s">
        <v>66</v>
      </c>
      <c r="B26" s="47">
        <v>190664417.16</v>
      </c>
      <c r="C26" s="47">
        <v>210533413.13</v>
      </c>
      <c r="D26" s="47">
        <v>234798149.08</v>
      </c>
      <c r="E26" s="47">
        <v>261155535.87</v>
      </c>
      <c r="F26" s="47">
        <v>266533495.03</v>
      </c>
    </row>
    <row r="27" spans="1:6">
      <c r="A27" s="18" t="s">
        <v>67</v>
      </c>
      <c r="B27" s="47">
        <v>193585695.77</v>
      </c>
      <c r="C27" s="47">
        <v>212921106.96</v>
      </c>
      <c r="D27" s="47">
        <v>233743013.07</v>
      </c>
      <c r="E27" s="47">
        <v>261057308.43</v>
      </c>
      <c r="F27" s="47">
        <v>264677710.23</v>
      </c>
    </row>
    <row r="28" spans="1:6">
      <c r="A28" s="18" t="s">
        <v>68</v>
      </c>
      <c r="B28" s="47">
        <v>169752398.63</v>
      </c>
      <c r="C28" s="47">
        <v>185484884.45</v>
      </c>
      <c r="D28" s="47">
        <v>204385489.57</v>
      </c>
      <c r="E28" s="47">
        <v>225850042.24</v>
      </c>
      <c r="F28" s="47">
        <v>232471923.82</v>
      </c>
    </row>
    <row r="29" spans="1:6">
      <c r="A29" s="18" t="s">
        <v>69</v>
      </c>
      <c r="B29" s="47">
        <v>97149931.22</v>
      </c>
      <c r="C29" s="47">
        <v>103614429.47</v>
      </c>
      <c r="D29" s="47">
        <v>114855108.9</v>
      </c>
      <c r="E29" s="47">
        <v>127183040.56</v>
      </c>
      <c r="F29" s="47">
        <v>126859086.98</v>
      </c>
    </row>
    <row r="30" spans="2:6">
      <c r="B30" s="49">
        <f>SUM(B8:B29)</f>
        <v>5277657965.84</v>
      </c>
      <c r="C30" s="49">
        <f>SUM(C8:C29)</f>
        <v>5694752944.96</v>
      </c>
      <c r="D30" s="49">
        <f>SUM(D8:D29)</f>
        <v>6327679279.7</v>
      </c>
      <c r="E30" s="49">
        <f>SUM(E8:E29)</f>
        <v>7035600349.53</v>
      </c>
      <c r="F30" s="49">
        <f>SUM(F8:F29)</f>
        <v>7151335979.89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Q142"/>
  <sheetViews>
    <sheetView topLeftCell="A26" workbookViewId="0">
      <selection activeCell="J32" sqref="J32:M142"/>
    </sheetView>
  </sheetViews>
  <sheetFormatPr defaultColWidth="9" defaultRowHeight="15"/>
  <cols>
    <col min="2" max="2" width="15.4285714285714" customWidth="1"/>
    <col min="3" max="7" width="16.7142857142857" customWidth="1"/>
    <col min="8" max="8" width="12.1428571428571" customWidth="1"/>
    <col min="9" max="9" width="10.5714285714286" customWidth="1"/>
    <col min="10" max="10" width="15.4285714285714" customWidth="1"/>
    <col min="11" max="12" width="10.5714285714286" customWidth="1"/>
    <col min="13" max="17" width="18.4285714285714" customWidth="1"/>
  </cols>
  <sheetData>
    <row r="3" spans="2:17">
      <c r="B3" s="32"/>
      <c r="C3" s="33" t="s">
        <v>76</v>
      </c>
      <c r="D3" s="33"/>
      <c r="E3" s="33"/>
      <c r="F3" s="33"/>
      <c r="G3" s="34"/>
      <c r="H3" s="35" t="s">
        <v>77</v>
      </c>
      <c r="I3" s="33"/>
      <c r="J3" s="33"/>
      <c r="K3" s="33"/>
      <c r="L3" s="34"/>
      <c r="M3" s="35" t="s">
        <v>78</v>
      </c>
      <c r="N3" s="33"/>
      <c r="O3" s="33"/>
      <c r="P3" s="33"/>
      <c r="Q3" s="34"/>
    </row>
    <row r="4" spans="2:17">
      <c r="B4" s="16" t="s">
        <v>79</v>
      </c>
      <c r="C4" s="17">
        <v>2012</v>
      </c>
      <c r="D4" s="17">
        <v>2013</v>
      </c>
      <c r="E4" s="17">
        <v>2014</v>
      </c>
      <c r="F4" s="17">
        <v>2015</v>
      </c>
      <c r="G4" s="36">
        <v>2016</v>
      </c>
      <c r="H4" s="37">
        <v>2012</v>
      </c>
      <c r="I4" s="27">
        <v>2013</v>
      </c>
      <c r="J4" s="27">
        <v>2014</v>
      </c>
      <c r="K4" s="27">
        <v>2015</v>
      </c>
      <c r="L4" s="44">
        <v>2016</v>
      </c>
      <c r="M4" s="16">
        <v>2012</v>
      </c>
      <c r="N4" s="16">
        <v>2013</v>
      </c>
      <c r="O4" s="16">
        <v>2014</v>
      </c>
      <c r="P4" s="16">
        <v>2015</v>
      </c>
      <c r="Q4" s="16">
        <v>2016</v>
      </c>
    </row>
    <row r="5" spans="2:17">
      <c r="B5" s="38" t="s">
        <v>48</v>
      </c>
      <c r="C5" s="39">
        <f ca="1">GETPIVOTDATA("Cantidad",Numerador!$A$7,"Depto","Alta Verapaz","Año",2012)</f>
        <v>85161</v>
      </c>
      <c r="D5" s="39">
        <f ca="1">GETPIVOTDATA("Cantidad",Numerador!$A$7,"Depto","Alta Verapaz","Año",2013)</f>
        <v>84385</v>
      </c>
      <c r="E5" s="39">
        <f ca="1">GETPIVOTDATA("Cantidad",Numerador!$A$7,"Depto","Alta Verapaz","Año",2014)</f>
        <v>83437</v>
      </c>
      <c r="F5" s="39">
        <f ca="1">GETPIVOTDATA("Cantidad",Numerador!$A$7,"Depto","Alta Verapaz","Año",2015)</f>
        <v>83851</v>
      </c>
      <c r="G5" s="40">
        <f ca="1">GETPIVOTDATA("Cantidad",Numerador!$A$7,"Depto","Alta Verapaz","Año",2016)</f>
        <v>84117</v>
      </c>
      <c r="H5" s="41">
        <f ca="1">GETPIVOTDATA("Cantidad",Denominador!$A$7,"Depto","Alta Verapaz","Año",2012)</f>
        <v>103498</v>
      </c>
      <c r="I5" s="45">
        <f ca="1">GETPIVOTDATA("Cantidad",Denominador!$A$7,"Depto","Alta Verapaz","Año",2013)</f>
        <v>106168</v>
      </c>
      <c r="J5" s="45">
        <f ca="1">GETPIVOTDATA("Cantidad",Denominador!$A$7,"Depto","Alta Verapaz","Año",2014)</f>
        <v>105141</v>
      </c>
      <c r="K5" s="45">
        <f ca="1">GETPIVOTDATA("Cantidad",Denominador!$A$7,"Depto","Alta Verapaz","Año",2015)</f>
        <v>106779</v>
      </c>
      <c r="L5" s="46">
        <f ca="1">GETPIVOTDATA("Cantidad",Denominador!$A$7,"Depto","Alta Verapaz","Año",2016)</f>
        <v>108470</v>
      </c>
      <c r="M5" s="47">
        <v>413761644.87</v>
      </c>
      <c r="N5" s="47">
        <v>458920917.07</v>
      </c>
      <c r="O5" s="47">
        <v>511495541.04</v>
      </c>
      <c r="P5" s="47">
        <v>572075506.93</v>
      </c>
      <c r="Q5" s="47">
        <v>592123344.84</v>
      </c>
    </row>
    <row r="6" spans="2:17">
      <c r="B6" s="38" t="s">
        <v>49</v>
      </c>
      <c r="C6" s="39">
        <f ca="1">GETPIVOTDATA("Cantidad",Numerador!$A$7,"Depto","Baja Verapaz","Año",2012)</f>
        <v>21119</v>
      </c>
      <c r="D6" s="39">
        <f ca="1">GETPIVOTDATA("Cantidad",Numerador!$A$7,"Depto","Baja Verapaz","Año",2013)</f>
        <v>20306</v>
      </c>
      <c r="E6" s="39">
        <f ca="1">GETPIVOTDATA("Cantidad",Numerador!$A$7,"Depto","Baja Verapaz","Año",2014)</f>
        <v>19941</v>
      </c>
      <c r="F6" s="39">
        <f ca="1">GETPIVOTDATA("Cantidad",Numerador!$A$7,"Depto","Baja Verapaz","Año",2015)</f>
        <v>19811</v>
      </c>
      <c r="G6" s="40">
        <f ca="1">GETPIVOTDATA("Cantidad",Numerador!$A$7,"Depto","Baja Verapaz","Año",2016)</f>
        <v>19239</v>
      </c>
      <c r="H6" s="41">
        <f ca="1">GETPIVOTDATA("Cantidad",Denominador!$A$7,"Depto","Baja Verapaz","Año",2012)</f>
        <v>23549</v>
      </c>
      <c r="I6" s="45">
        <f ca="1">GETPIVOTDATA("Cantidad",Denominador!$A$7,"Depto","Baja Verapaz","Año",2013)</f>
        <v>23903</v>
      </c>
      <c r="J6" s="45">
        <f ca="1">GETPIVOTDATA("Cantidad",Denominador!$A$7,"Depto","Baja Verapaz","Año",2014)</f>
        <v>24312</v>
      </c>
      <c r="K6" s="45">
        <f ca="1">GETPIVOTDATA("Cantidad",Denominador!$A$7,"Depto","Baja Verapaz","Año",2015)</f>
        <v>24746</v>
      </c>
      <c r="L6" s="46">
        <f ca="1">GETPIVOTDATA("Cantidad",Denominador!$A$7,"Depto","Baja Verapaz","Año",2016)</f>
        <v>25174</v>
      </c>
      <c r="M6" s="47">
        <v>132285407.8</v>
      </c>
      <c r="N6" s="47">
        <v>146756694.97</v>
      </c>
      <c r="O6" s="47">
        <v>162878175.55</v>
      </c>
      <c r="P6" s="47">
        <v>181508017</v>
      </c>
      <c r="Q6" s="47">
        <v>180623727.01</v>
      </c>
    </row>
    <row r="7" spans="2:17">
      <c r="B7" s="38" t="s">
        <v>50</v>
      </c>
      <c r="C7" s="39">
        <f ca="1">GETPIVOTDATA("Cantidad",Numerador!$A$7,"Depto","Chimaltenango","Año",2012)</f>
        <v>44192</v>
      </c>
      <c r="D7" s="39">
        <f ca="1">GETPIVOTDATA("Cantidad",Numerador!$A$7,"Depto","Chimaltenango","Año",2013)</f>
        <v>43313</v>
      </c>
      <c r="E7" s="39">
        <f ca="1">GETPIVOTDATA("Cantidad",Numerador!$A$7,"Depto","Chimaltenango","Año",2014)</f>
        <v>42588</v>
      </c>
      <c r="F7" s="39">
        <f ca="1">GETPIVOTDATA("Cantidad",Numerador!$A$7,"Depto","Chimaltenango","Año",2015)</f>
        <v>42309</v>
      </c>
      <c r="G7" s="40">
        <f ca="1">GETPIVOTDATA("Cantidad",Numerador!$A$7,"Depto","Chimaltenango","Año",2016)</f>
        <v>41893</v>
      </c>
      <c r="H7" s="41">
        <f ca="1">GETPIVOTDATA("Cantidad",Denominador!$A$7,"Depto","Chimaltenango","Año",2012)</f>
        <v>53800</v>
      </c>
      <c r="I7" s="45">
        <f ca="1">GETPIVOTDATA("Cantidad",Denominador!$A$7,"Depto","Chimaltenango","Año",2013)</f>
        <v>55352</v>
      </c>
      <c r="J7" s="45">
        <f ca="1">GETPIVOTDATA("Cantidad",Denominador!$A$7,"Depto","Chimaltenango","Año",2014)</f>
        <v>57038</v>
      </c>
      <c r="K7" s="45">
        <f ca="1">GETPIVOTDATA("Cantidad",Denominador!$A$7,"Depto","Chimaltenango","Año",2015)</f>
        <v>58471</v>
      </c>
      <c r="L7" s="46">
        <f ca="1">GETPIVOTDATA("Cantidad",Denominador!$A$7,"Depto","Chimaltenango","Año",2016)</f>
        <v>59694</v>
      </c>
      <c r="M7" s="47">
        <v>200477927.15</v>
      </c>
      <c r="N7" s="47">
        <v>215733749.79</v>
      </c>
      <c r="O7" s="47">
        <v>242876605.1</v>
      </c>
      <c r="P7" s="47">
        <v>275038676.92</v>
      </c>
      <c r="Q7" s="47">
        <v>280447993.79</v>
      </c>
    </row>
    <row r="8" spans="2:17">
      <c r="B8" s="38" t="s">
        <v>51</v>
      </c>
      <c r="C8" s="39">
        <f ca="1">GETPIVOTDATA("Cantidad",Numerador!$A$7,"Depto","Chiquimula","Año",2012)</f>
        <v>29420</v>
      </c>
      <c r="D8" s="39">
        <f ca="1">GETPIVOTDATA("Cantidad",Numerador!$A$7,"Depto","Chiquimula","Año",2013)</f>
        <v>28632</v>
      </c>
      <c r="E8" s="39">
        <f ca="1">GETPIVOTDATA("Cantidad",Numerador!$A$7,"Depto","Chiquimula","Año",2014)</f>
        <v>28318</v>
      </c>
      <c r="F8" s="39">
        <f ca="1">GETPIVOTDATA("Cantidad",Numerador!$A$7,"Depto","Chiquimula","Año",2015)</f>
        <v>28456</v>
      </c>
      <c r="G8" s="40">
        <f ca="1">GETPIVOTDATA("Cantidad",Numerador!$A$7,"Depto","Chiquimula","Año",2016)</f>
        <v>27583</v>
      </c>
      <c r="H8" s="41">
        <f ca="1">GETPIVOTDATA("Cantidad",Denominador!$A$7,"Depto","Chiquimula","Año",2012)</f>
        <v>32116</v>
      </c>
      <c r="I8" s="45">
        <f ca="1">GETPIVOTDATA("Cantidad",Denominador!$A$7,"Depto","Chiquimula","Año",2013)</f>
        <v>32717</v>
      </c>
      <c r="J8" s="45">
        <f ca="1">GETPIVOTDATA("Cantidad",Denominador!$A$7,"Depto","Chiquimula","Año",2014)</f>
        <v>32907</v>
      </c>
      <c r="K8" s="45">
        <f ca="1">GETPIVOTDATA("Cantidad",Denominador!$A$7,"Depto","Chiquimula","Año",2015)</f>
        <v>33352</v>
      </c>
      <c r="L8" s="46">
        <f ca="1">GETPIVOTDATA("Cantidad",Denominador!$A$7,"Depto","Chiquimula","Año",2016)</f>
        <v>33757</v>
      </c>
      <c r="M8" s="47">
        <v>178115328.71</v>
      </c>
      <c r="N8" s="47">
        <v>183027742.29</v>
      </c>
      <c r="O8" s="47">
        <v>201983821.39</v>
      </c>
      <c r="P8" s="47">
        <v>225954413.65</v>
      </c>
      <c r="Q8" s="47">
        <v>227389496.04</v>
      </c>
    </row>
    <row r="9" spans="2:17">
      <c r="B9" s="38" t="s">
        <v>52</v>
      </c>
      <c r="C9" s="39">
        <f ca="1">GETPIVOTDATA("Cantidad",Numerador!$A$7,"Depto","El Progreso","Año",2012)</f>
        <v>12003</v>
      </c>
      <c r="D9" s="39">
        <f ca="1">GETPIVOTDATA("Cantidad",Numerador!$A$7,"Depto","El Progreso","Año",2013)</f>
        <v>11515</v>
      </c>
      <c r="E9" s="39">
        <f ca="1">GETPIVOTDATA("Cantidad",Numerador!$A$7,"Depto","El Progreso","Año",2014)</f>
        <v>11178</v>
      </c>
      <c r="F9" s="39">
        <f ca="1">GETPIVOTDATA("Cantidad",Numerador!$A$7,"Depto","El Progreso","Año",2015)</f>
        <v>10977</v>
      </c>
      <c r="G9" s="40">
        <f ca="1">GETPIVOTDATA("Cantidad",Numerador!$A$7,"Depto","El Progreso","Año",2016)</f>
        <v>10856</v>
      </c>
      <c r="H9" s="41">
        <f ca="1">GETPIVOTDATA("Cantidad",Denominador!$A$7,"Depto","El Progreso","Año",2012)</f>
        <v>12122</v>
      </c>
      <c r="I9" s="45">
        <f ca="1">GETPIVOTDATA("Cantidad",Denominador!$A$7,"Depto","El Progreso","Año",2013)</f>
        <v>12193</v>
      </c>
      <c r="J9" s="45">
        <f ca="1">GETPIVOTDATA("Cantidad",Denominador!$A$7,"Depto","El Progreso","Año",2014)</f>
        <v>12235</v>
      </c>
      <c r="K9" s="45">
        <f ca="1">GETPIVOTDATA("Cantidad",Denominador!$A$7,"Depto","El Progreso","Año",2015)</f>
        <v>12341</v>
      </c>
      <c r="L9" s="46">
        <f ca="1">GETPIVOTDATA("Cantidad",Denominador!$A$7,"Depto","El Progreso","Año",2016)</f>
        <v>12428</v>
      </c>
      <c r="M9" s="47">
        <v>67302905.19</v>
      </c>
      <c r="N9" s="47">
        <v>70497073.74</v>
      </c>
      <c r="O9" s="47">
        <v>76550382.48</v>
      </c>
      <c r="P9" s="47">
        <v>84891503.62</v>
      </c>
      <c r="Q9" s="47">
        <v>85441774.76</v>
      </c>
    </row>
    <row r="10" spans="2:17">
      <c r="B10" s="38" t="s">
        <v>53</v>
      </c>
      <c r="C10" s="39">
        <f ca="1">GETPIVOTDATA("Cantidad",Numerador!$A$7,"Depto","Escuintla","Año",2012)</f>
        <v>48584</v>
      </c>
      <c r="D10" s="39">
        <f ca="1">GETPIVOTDATA("Cantidad",Numerador!$A$7,"Depto","Escuintla","Año",2013)</f>
        <v>47512</v>
      </c>
      <c r="E10" s="39">
        <f ca="1">GETPIVOTDATA("Cantidad",Numerador!$A$7,"Depto","Escuintla","Año",2014)</f>
        <v>46483</v>
      </c>
      <c r="F10" s="39">
        <f ca="1">GETPIVOTDATA("Cantidad",Numerador!$A$7,"Depto","Escuintla","Año",2015)</f>
        <v>46541</v>
      </c>
      <c r="G10" s="40">
        <f ca="1">GETPIVOTDATA("Cantidad",Numerador!$A$7,"Depto","Escuintla","Año",2016)</f>
        <v>46670</v>
      </c>
      <c r="H10" s="41">
        <f ca="1">GETPIVOTDATA("Cantidad",Denominador!$A$7,"Depto","Escuintla","Año",2012)</f>
        <v>51947</v>
      </c>
      <c r="I10" s="45">
        <f ca="1">GETPIVOTDATA("Cantidad",Denominador!$A$7,"Depto","Escuintla","Año",2013)</f>
        <v>52414</v>
      </c>
      <c r="J10" s="45">
        <f ca="1">GETPIVOTDATA("Cantidad",Denominador!$A$7,"Depto","Escuintla","Año",2014)</f>
        <v>52423</v>
      </c>
      <c r="K10" s="45">
        <f ca="1">GETPIVOTDATA("Cantidad",Denominador!$A$7,"Depto","Escuintla","Año",2015)</f>
        <v>52924</v>
      </c>
      <c r="L10" s="46">
        <f ca="1">GETPIVOTDATA("Cantidad",Denominador!$A$7,"Depto","Escuintla","Año",2016)</f>
        <v>53416</v>
      </c>
      <c r="M10" s="47">
        <v>238130503.35</v>
      </c>
      <c r="N10" s="47">
        <v>249655590.5</v>
      </c>
      <c r="O10" s="47">
        <v>274397351.8</v>
      </c>
      <c r="P10" s="47">
        <v>305262911.93</v>
      </c>
      <c r="Q10" s="47">
        <v>307973670.51</v>
      </c>
    </row>
    <row r="11" spans="2:17">
      <c r="B11" s="38" t="s">
        <v>54</v>
      </c>
      <c r="C11" s="39">
        <f ca="1">GETPIVOTDATA("Cantidad",Numerador!$A$7,"Depto","Guatemala","Año",2012)</f>
        <v>197115</v>
      </c>
      <c r="D11" s="39">
        <f ca="1">GETPIVOTDATA("Cantidad",Numerador!$A$7,"Depto","Guatemala","Año",2013)</f>
        <v>193253</v>
      </c>
      <c r="E11" s="39">
        <f ca="1">GETPIVOTDATA("Cantidad",Numerador!$A$7,"Depto","Guatemala","Año",2014)</f>
        <v>191688</v>
      </c>
      <c r="F11" s="39">
        <f ca="1">GETPIVOTDATA("Cantidad",Numerador!$A$7,"Depto","Guatemala","Año",2015)</f>
        <v>192638</v>
      </c>
      <c r="G11" s="40">
        <f ca="1">GETPIVOTDATA("Cantidad",Numerador!$A$7,"Depto","Guatemala","Año",2016)</f>
        <v>193464</v>
      </c>
      <c r="H11" s="41">
        <f ca="1">GETPIVOTDATA("Cantidad",Denominador!$A$7,"Depto","Guatemala","Año",2012)</f>
        <v>211210</v>
      </c>
      <c r="I11" s="45">
        <f ca="1">GETPIVOTDATA("Cantidad",Denominador!$A$7,"Depto","Guatemala","Año",2013)</f>
        <v>212590</v>
      </c>
      <c r="J11" s="45">
        <f ca="1">GETPIVOTDATA("Cantidad",Denominador!$A$7,"Depto","Guatemala","Año",2014)</f>
        <v>208436</v>
      </c>
      <c r="K11" s="45">
        <f ca="1">GETPIVOTDATA("Cantidad",Denominador!$A$7,"Depto","Guatemala","Año",2015)</f>
        <v>207719</v>
      </c>
      <c r="L11" s="46">
        <f ca="1">GETPIVOTDATA("Cantidad",Denominador!$A$7,"Depto","Guatemala","Año",2016)</f>
        <v>206874</v>
      </c>
      <c r="M11" s="47">
        <v>666960547.31</v>
      </c>
      <c r="N11" s="47">
        <v>717515007.49</v>
      </c>
      <c r="O11" s="47">
        <v>800724866.53</v>
      </c>
      <c r="P11" s="47">
        <v>867415490.19</v>
      </c>
      <c r="Q11" s="47">
        <v>874157361.64</v>
      </c>
    </row>
    <row r="12" spans="2:17">
      <c r="B12" s="38" t="s">
        <v>55</v>
      </c>
      <c r="C12" s="39">
        <f ca="1">GETPIVOTDATA("Cantidad",Numerador!$A$7,"Depto","Huehuetenango","Año",2012)</f>
        <v>92683</v>
      </c>
      <c r="D12" s="39">
        <f ca="1">GETPIVOTDATA("Cantidad",Numerador!$A$7,"Depto","Huehuetenango","Año",2013)</f>
        <v>90458</v>
      </c>
      <c r="E12" s="39">
        <f ca="1">GETPIVOTDATA("Cantidad",Numerador!$A$7,"Depto","Huehuetenango","Año",2014)</f>
        <v>88786</v>
      </c>
      <c r="F12" s="39">
        <f ca="1">GETPIVOTDATA("Cantidad",Numerador!$A$7,"Depto","Huehuetenango","Año",2015)</f>
        <v>87662</v>
      </c>
      <c r="G12" s="40">
        <f ca="1">GETPIVOTDATA("Cantidad",Numerador!$A$7,"Depto","Huehuetenango","Año",2016)</f>
        <v>85323</v>
      </c>
      <c r="H12" s="41">
        <f ca="1">GETPIVOTDATA("Cantidad",Denominador!$A$7,"Depto","Huehuetenango","Año",2012)</f>
        <v>100102</v>
      </c>
      <c r="I12" s="45">
        <f ca="1">GETPIVOTDATA("Cantidad",Denominador!$A$7,"Depto","Huehuetenango","Año",2013)</f>
        <v>102270</v>
      </c>
      <c r="J12" s="45">
        <f ca="1">GETPIVOTDATA("Cantidad",Denominador!$A$7,"Depto","Huehuetenango","Año",2014)</f>
        <v>105510</v>
      </c>
      <c r="K12" s="45">
        <f ca="1">GETPIVOTDATA("Cantidad",Denominador!$A$7,"Depto","Huehuetenango","Año",2015)</f>
        <v>108051</v>
      </c>
      <c r="L12" s="46">
        <f ca="1">GETPIVOTDATA("Cantidad",Denominador!$A$7,"Depto","Huehuetenango","Año",2016)</f>
        <v>109765</v>
      </c>
      <c r="M12" s="47">
        <v>449923399.07</v>
      </c>
      <c r="N12" s="47">
        <v>482903766.19</v>
      </c>
      <c r="O12" s="47">
        <v>537849280.34</v>
      </c>
      <c r="P12" s="47">
        <v>596166794.13</v>
      </c>
      <c r="Q12" s="47">
        <v>604282182.07</v>
      </c>
    </row>
    <row r="13" spans="2:17">
      <c r="B13" s="38" t="s">
        <v>56</v>
      </c>
      <c r="C13" s="39">
        <f ca="1">GETPIVOTDATA("Cantidad",Numerador!$A$7,"Depto","Izabal","Año",2012)</f>
        <v>30444</v>
      </c>
      <c r="D13" s="39">
        <f ca="1">GETPIVOTDATA("Cantidad",Numerador!$A$7,"Depto","Izabal","Año",2013)</f>
        <v>29570</v>
      </c>
      <c r="E13" s="39">
        <f ca="1">GETPIVOTDATA("Cantidad",Numerador!$A$7,"Depto","Izabal","Año",2014)</f>
        <v>27991</v>
      </c>
      <c r="F13" s="39">
        <f ca="1">GETPIVOTDATA("Cantidad",Numerador!$A$7,"Depto","Izabal","Año",2015)</f>
        <v>27670</v>
      </c>
      <c r="G13" s="40">
        <f ca="1">GETPIVOTDATA("Cantidad",Numerador!$A$7,"Depto","Izabal","Año",2016)</f>
        <v>27096</v>
      </c>
      <c r="H13" s="41">
        <f ca="1">GETPIVOTDATA("Cantidad",Denominador!$A$7,"Depto","Izabal","Año",2012)</f>
        <v>34793</v>
      </c>
      <c r="I13" s="45">
        <f ca="1">GETPIVOTDATA("Cantidad",Denominador!$A$7,"Depto","Izabal","Año",2013)</f>
        <v>35355</v>
      </c>
      <c r="J13" s="45">
        <f ca="1">GETPIVOTDATA("Cantidad",Denominador!$A$7,"Depto","Izabal","Año",2014)</f>
        <v>35254</v>
      </c>
      <c r="K13" s="45">
        <f ca="1">GETPIVOTDATA("Cantidad",Denominador!$A$7,"Depto","Izabal","Año",2015)</f>
        <v>35666</v>
      </c>
      <c r="L13" s="46">
        <f ca="1">GETPIVOTDATA("Cantidad",Denominador!$A$7,"Depto","Izabal","Año",2016)</f>
        <v>36104</v>
      </c>
      <c r="M13" s="47">
        <v>172003828.46</v>
      </c>
      <c r="N13" s="47">
        <v>180551531.91</v>
      </c>
      <c r="O13" s="47">
        <v>200321962.93</v>
      </c>
      <c r="P13" s="47">
        <v>224600690.61</v>
      </c>
      <c r="Q13" s="47">
        <v>228723722.47</v>
      </c>
    </row>
    <row r="14" spans="2:17">
      <c r="B14" s="38" t="s">
        <v>57</v>
      </c>
      <c r="C14" s="39">
        <f ca="1">GETPIVOTDATA("Cantidad",Numerador!$A$7,"Depto","Jalapa","Año",2012)</f>
        <v>25353</v>
      </c>
      <c r="D14" s="39">
        <f ca="1">GETPIVOTDATA("Cantidad",Numerador!$A$7,"Depto","Jalapa","Año",2013)</f>
        <v>24803</v>
      </c>
      <c r="E14" s="39">
        <f ca="1">GETPIVOTDATA("Cantidad",Numerador!$A$7,"Depto","Jalapa","Año",2014)</f>
        <v>24130</v>
      </c>
      <c r="F14" s="39">
        <f ca="1">GETPIVOTDATA("Cantidad",Numerador!$A$7,"Depto","Jalapa","Año",2015)</f>
        <v>24119</v>
      </c>
      <c r="G14" s="40">
        <f ca="1">GETPIVOTDATA("Cantidad",Numerador!$A$7,"Depto","Jalapa","Año",2016)</f>
        <v>23446</v>
      </c>
      <c r="H14" s="41">
        <f ca="1">GETPIVOTDATA("Cantidad",Denominador!$A$7,"Depto","Jalapa","Año",2012)</f>
        <v>28701</v>
      </c>
      <c r="I14" s="45">
        <f ca="1">GETPIVOTDATA("Cantidad",Denominador!$A$7,"Depto","Jalapa","Año",2013)</f>
        <v>29469</v>
      </c>
      <c r="J14" s="45">
        <f ca="1">GETPIVOTDATA("Cantidad",Denominador!$A$7,"Depto","Jalapa","Año",2014)</f>
        <v>30404</v>
      </c>
      <c r="K14" s="45">
        <f ca="1">GETPIVOTDATA("Cantidad",Denominador!$A$7,"Depto","Jalapa","Año",2015)</f>
        <v>31137</v>
      </c>
      <c r="L14" s="46">
        <f ca="1">GETPIVOTDATA("Cantidad",Denominador!$A$7,"Depto","Jalapa","Año",2016)</f>
        <v>31787</v>
      </c>
      <c r="M14" s="47">
        <v>130709973.95</v>
      </c>
      <c r="N14" s="47">
        <v>143821315.23</v>
      </c>
      <c r="O14" s="47">
        <v>156936498.44</v>
      </c>
      <c r="P14" s="47">
        <v>173428461.9</v>
      </c>
      <c r="Q14" s="47">
        <v>177218984.12</v>
      </c>
    </row>
    <row r="15" spans="2:17">
      <c r="B15" s="38" t="s">
        <v>58</v>
      </c>
      <c r="C15" s="39">
        <f ca="1">GETPIVOTDATA("Cantidad",Numerador!$A$7,"Depto","Jutiapa","Año",2012)</f>
        <v>34993</v>
      </c>
      <c r="D15" s="39">
        <f ca="1">GETPIVOTDATA("Cantidad",Numerador!$A$7,"Depto","Jutiapa","Año",2013)</f>
        <v>33729</v>
      </c>
      <c r="E15" s="39">
        <f ca="1">GETPIVOTDATA("Cantidad",Numerador!$A$7,"Depto","Jutiapa","Año",2014)</f>
        <v>32465</v>
      </c>
      <c r="F15" s="39">
        <f ca="1">GETPIVOTDATA("Cantidad",Numerador!$A$7,"Depto","Jutiapa","Año",2015)</f>
        <v>31658</v>
      </c>
      <c r="G15" s="40">
        <f ca="1">GETPIVOTDATA("Cantidad",Numerador!$A$7,"Depto","Jutiapa","Año",2016)</f>
        <v>31141</v>
      </c>
      <c r="H15" s="41">
        <f ca="1">GETPIVOTDATA("Cantidad",Denominador!$A$7,"Depto","Jutiapa","Año",2012)</f>
        <v>36137</v>
      </c>
      <c r="I15" s="45">
        <f ca="1">GETPIVOTDATA("Cantidad",Denominador!$A$7,"Depto","Jutiapa","Año",2013)</f>
        <v>36446</v>
      </c>
      <c r="J15" s="45">
        <f ca="1">GETPIVOTDATA("Cantidad",Denominador!$A$7,"Depto","Jutiapa","Año",2014)</f>
        <v>38244</v>
      </c>
      <c r="K15" s="45">
        <f ca="1">GETPIVOTDATA("Cantidad",Denominador!$A$7,"Depto","Jutiapa","Año",2015)</f>
        <v>38959</v>
      </c>
      <c r="L15" s="46">
        <f ca="1">GETPIVOTDATA("Cantidad",Denominador!$A$7,"Depto","Jutiapa","Año",2016)</f>
        <v>39547</v>
      </c>
      <c r="M15" s="47">
        <v>191961086.99</v>
      </c>
      <c r="N15" s="47">
        <v>206232963.32</v>
      </c>
      <c r="O15" s="47">
        <v>227891773.8</v>
      </c>
      <c r="P15" s="47">
        <v>252749203.12</v>
      </c>
      <c r="Q15" s="47">
        <v>255506485.22</v>
      </c>
    </row>
    <row r="16" spans="2:17">
      <c r="B16" s="38" t="s">
        <v>59</v>
      </c>
      <c r="C16" s="39">
        <f ca="1">GETPIVOTDATA("Cantidad",Numerador!$A$7,"Depto","Petén","Año",2012)</f>
        <v>41975</v>
      </c>
      <c r="D16" s="39">
        <f ca="1">GETPIVOTDATA("Cantidad",Numerador!$A$7,"Depto","Petén","Año",2013)</f>
        <v>40019</v>
      </c>
      <c r="E16" s="39">
        <f ca="1">GETPIVOTDATA("Cantidad",Numerador!$A$7,"Depto","Petén","Año",2014)</f>
        <v>38581</v>
      </c>
      <c r="F16" s="39">
        <f ca="1">GETPIVOTDATA("Cantidad",Numerador!$A$7,"Depto","Petén","Año",2015)</f>
        <v>38596</v>
      </c>
      <c r="G16" s="40">
        <f ca="1">GETPIVOTDATA("Cantidad",Numerador!$A$7,"Depto","Petén","Año",2016)</f>
        <v>38437</v>
      </c>
      <c r="H16" s="41">
        <f ca="1">GETPIVOTDATA("Cantidad",Denominador!$A$7,"Depto","Petén","Año",2012)</f>
        <v>57182</v>
      </c>
      <c r="I16" s="45">
        <f ca="1">GETPIVOTDATA("Cantidad",Denominador!$A$7,"Depto","Petén","Año",2013)</f>
        <v>59521</v>
      </c>
      <c r="J16" s="45">
        <f ca="1">GETPIVOTDATA("Cantidad",Denominador!$A$7,"Depto","Petén","Año",2014)</f>
        <v>62127</v>
      </c>
      <c r="K16" s="45">
        <f ca="1">GETPIVOTDATA("Cantidad",Denominador!$A$7,"Depto","Petén","Año",2015)</f>
        <v>64483</v>
      </c>
      <c r="L16" s="46">
        <f ca="1">GETPIVOTDATA("Cantidad",Denominador!$A$7,"Depto","Petén","Año",2016)</f>
        <v>66507</v>
      </c>
      <c r="M16" s="47">
        <v>263795839.29</v>
      </c>
      <c r="N16" s="47">
        <v>279291702.14</v>
      </c>
      <c r="O16" s="47">
        <v>312883606.47</v>
      </c>
      <c r="P16" s="47">
        <v>350441091.93</v>
      </c>
      <c r="Q16" s="47">
        <v>357471685.88</v>
      </c>
    </row>
    <row r="17" spans="2:17">
      <c r="B17" s="38" t="s">
        <v>60</v>
      </c>
      <c r="C17" s="39">
        <f ca="1">GETPIVOTDATA("Cantidad",Numerador!$A$7,"Depto","Quetzaltenango","Año",2012)</f>
        <v>59543</v>
      </c>
      <c r="D17" s="39">
        <f ca="1">GETPIVOTDATA("Cantidad",Numerador!$A$7,"Depto","Quetzaltenango","Año",2013)</f>
        <v>58079</v>
      </c>
      <c r="E17" s="39">
        <f ca="1">GETPIVOTDATA("Cantidad",Numerador!$A$7,"Depto","Quetzaltenango","Año",2014)</f>
        <v>56212</v>
      </c>
      <c r="F17" s="39">
        <f ca="1">GETPIVOTDATA("Cantidad",Numerador!$A$7,"Depto","Quetzaltenango","Año",2015)</f>
        <v>54713</v>
      </c>
      <c r="G17" s="40">
        <f ca="1">GETPIVOTDATA("Cantidad",Numerador!$A$7,"Depto","Quetzaltenango","Año",2016)</f>
        <v>52953</v>
      </c>
      <c r="H17" s="41">
        <f ca="1">GETPIVOTDATA("Cantidad",Denominador!$A$7,"Depto","Quetzaltenango","Año",2012)</f>
        <v>62290</v>
      </c>
      <c r="I17" s="45">
        <f ca="1">GETPIVOTDATA("Cantidad",Denominador!$A$7,"Depto","Quetzaltenango","Año",2013)</f>
        <v>63359</v>
      </c>
      <c r="J17" s="45">
        <f ca="1">GETPIVOTDATA("Cantidad",Denominador!$A$7,"Depto","Quetzaltenango","Año",2014)</f>
        <v>65847</v>
      </c>
      <c r="K17" s="45">
        <f ca="1">GETPIVOTDATA("Cantidad",Denominador!$A$7,"Depto","Quetzaltenango","Año",2015)</f>
        <v>67269</v>
      </c>
      <c r="L17" s="46">
        <f ca="1">GETPIVOTDATA("Cantidad",Denominador!$A$7,"Depto","Quetzaltenango","Año",2016)</f>
        <v>68482</v>
      </c>
      <c r="M17" s="47">
        <v>309275792.15</v>
      </c>
      <c r="N17" s="47">
        <v>330487405.21</v>
      </c>
      <c r="O17" s="47">
        <v>366855976.8</v>
      </c>
      <c r="P17" s="47">
        <v>410993038.15</v>
      </c>
      <c r="Q17" s="47">
        <v>413318050.16</v>
      </c>
    </row>
    <row r="18" spans="2:17">
      <c r="B18" s="38" t="s">
        <v>61</v>
      </c>
      <c r="C18" s="39">
        <f ca="1">GETPIVOTDATA("Cantidad",Numerador!$A$7,"Depto","Quiché","Año",2012)</f>
        <v>75859</v>
      </c>
      <c r="D18" s="39">
        <f ca="1">GETPIVOTDATA("Cantidad",Numerador!$A$7,"Depto","Quiché","Año",2013)</f>
        <v>75049</v>
      </c>
      <c r="E18" s="39">
        <f ca="1">GETPIVOTDATA("Cantidad",Numerador!$A$7,"Depto","Quiché","Año",2014)</f>
        <v>73132</v>
      </c>
      <c r="F18" s="39">
        <f ca="1">GETPIVOTDATA("Cantidad",Numerador!$A$7,"Depto","Quiché","Año",2015)</f>
        <v>72493</v>
      </c>
      <c r="G18" s="40">
        <f ca="1">GETPIVOTDATA("Cantidad",Numerador!$A$7,"Depto","Quiché","Año",2016)</f>
        <v>70779</v>
      </c>
      <c r="H18" s="41">
        <f ca="1">GETPIVOTDATA("Cantidad",Denominador!$A$7,"Depto","Quiché","Año",2012)</f>
        <v>90430</v>
      </c>
      <c r="I18" s="45">
        <f ca="1">GETPIVOTDATA("Cantidad",Denominador!$A$7,"Depto","Quiché","Año",2013)</f>
        <v>93496</v>
      </c>
      <c r="J18" s="45">
        <f ca="1">GETPIVOTDATA("Cantidad",Denominador!$A$7,"Depto","Quiché","Año",2014)</f>
        <v>97380</v>
      </c>
      <c r="K18" s="45">
        <f ca="1">GETPIVOTDATA("Cantidad",Denominador!$A$7,"Depto","Quiché","Año",2015)</f>
        <v>100438</v>
      </c>
      <c r="L18" s="46">
        <f ca="1">GETPIVOTDATA("Cantidad",Denominador!$A$7,"Depto","Quiché","Año",2016)</f>
        <v>103222</v>
      </c>
      <c r="M18" s="47">
        <v>401603902.22</v>
      </c>
      <c r="N18" s="47">
        <v>441552626.25</v>
      </c>
      <c r="O18" s="47">
        <v>493620579.15</v>
      </c>
      <c r="P18" s="47">
        <v>553161511.3</v>
      </c>
      <c r="Q18" s="47">
        <v>569331504.4</v>
      </c>
    </row>
    <row r="19" spans="2:17">
      <c r="B19" s="38" t="s">
        <v>62</v>
      </c>
      <c r="C19" s="39">
        <f ca="1">GETPIVOTDATA("Cantidad",Numerador!$A$7,"Depto","Retalhuleu","Año",2012)</f>
        <v>23546</v>
      </c>
      <c r="D19" s="39">
        <f ca="1">GETPIVOTDATA("Cantidad",Numerador!$A$7,"Depto","Retalhuleu","Año",2013)</f>
        <v>22810</v>
      </c>
      <c r="E19" s="39">
        <f ca="1">GETPIVOTDATA("Cantidad",Numerador!$A$7,"Depto","Retalhuleu","Año",2014)</f>
        <v>22054</v>
      </c>
      <c r="F19" s="39">
        <f ca="1">GETPIVOTDATA("Cantidad",Numerador!$A$7,"Depto","Retalhuleu","Año",2015)</f>
        <v>21835</v>
      </c>
      <c r="G19" s="40">
        <f ca="1">GETPIVOTDATA("Cantidad",Numerador!$A$7,"Depto","Retalhuleu","Año",2016)</f>
        <v>21440</v>
      </c>
      <c r="H19" s="41">
        <f ca="1">GETPIVOTDATA("Cantidad",Denominador!$A$7,"Depto","Retalhuleu","Año",2012)</f>
        <v>23814</v>
      </c>
      <c r="I19" s="45">
        <f ca="1">GETPIVOTDATA("Cantidad",Denominador!$A$7,"Depto","Retalhuleu","Año",2013)</f>
        <v>24051</v>
      </c>
      <c r="J19" s="45">
        <f ca="1">GETPIVOTDATA("Cantidad",Denominador!$A$7,"Depto","Retalhuleu","Año",2014)</f>
        <v>24595</v>
      </c>
      <c r="K19" s="45">
        <f ca="1">GETPIVOTDATA("Cantidad",Denominador!$A$7,"Depto","Retalhuleu","Año",2015)</f>
        <v>25019</v>
      </c>
      <c r="L19" s="46">
        <f ca="1">GETPIVOTDATA("Cantidad",Denominador!$A$7,"Depto","Retalhuleu","Año",2016)</f>
        <v>25425</v>
      </c>
      <c r="M19" s="47">
        <v>142361327.19</v>
      </c>
      <c r="N19" s="47">
        <v>152624881.1</v>
      </c>
      <c r="O19" s="47">
        <v>171340667.4</v>
      </c>
      <c r="P19" s="47">
        <v>192432107.74</v>
      </c>
      <c r="Q19" s="47">
        <v>196060476.53</v>
      </c>
    </row>
    <row r="20" spans="2:17">
      <c r="B20" s="38" t="s">
        <v>63</v>
      </c>
      <c r="C20" s="39">
        <f ca="1">GETPIVOTDATA("Cantidad",Numerador!$A$7,"Depto","Sacatepéquez","Año",2012)</f>
        <v>21543</v>
      </c>
      <c r="D20" s="39">
        <f ca="1">GETPIVOTDATA("Cantidad",Numerador!$A$7,"Depto","Sacatepéquez","Año",2013)</f>
        <v>21072</v>
      </c>
      <c r="E20" s="39">
        <f ca="1">GETPIVOTDATA("Cantidad",Numerador!$A$7,"Depto","Sacatepéquez","Año",2014)</f>
        <v>20897</v>
      </c>
      <c r="F20" s="39">
        <f ca="1">GETPIVOTDATA("Cantidad",Numerador!$A$7,"Depto","Sacatepéquez","Año",2015)</f>
        <v>20890</v>
      </c>
      <c r="G20" s="40">
        <f ca="1">GETPIVOTDATA("Cantidad",Numerador!$A$7,"Depto","Sacatepéquez","Año",2016)</f>
        <v>20929</v>
      </c>
      <c r="H20" s="41">
        <f ca="1">GETPIVOTDATA("Cantidad",Denominador!$A$7,"Depto","Sacatepéquez","Año",2012)</f>
        <v>24070</v>
      </c>
      <c r="I20" s="45">
        <f ca="1">GETPIVOTDATA("Cantidad",Denominador!$A$7,"Depto","Sacatepéquez","Año",2013)</f>
        <v>24422</v>
      </c>
      <c r="J20" s="45">
        <f ca="1">GETPIVOTDATA("Cantidad",Denominador!$A$7,"Depto","Sacatepéquez","Año",2014)</f>
        <v>25859</v>
      </c>
      <c r="K20" s="45">
        <f ca="1">GETPIVOTDATA("Cantidad",Denominador!$A$7,"Depto","Sacatepéquez","Año",2015)</f>
        <v>24640</v>
      </c>
      <c r="L20" s="46">
        <f ca="1">GETPIVOTDATA("Cantidad",Denominador!$A$7,"Depto","Sacatepéquez","Año",2016)</f>
        <v>24817</v>
      </c>
      <c r="M20" s="47">
        <v>80051213.14</v>
      </c>
      <c r="N20" s="47">
        <v>86658583.22</v>
      </c>
      <c r="O20" s="47">
        <v>95112816.35</v>
      </c>
      <c r="P20" s="47">
        <v>105746516.66</v>
      </c>
      <c r="Q20" s="47">
        <v>106585749.17</v>
      </c>
    </row>
    <row r="21" spans="2:17">
      <c r="B21" s="38" t="s">
        <v>64</v>
      </c>
      <c r="C21" s="39">
        <f ca="1">GETPIVOTDATA("Cantidad",Numerador!$A$7,"Depto","San Marcos","Año",2012)</f>
        <v>82952</v>
      </c>
      <c r="D21" s="39">
        <f ca="1">GETPIVOTDATA("Cantidad",Numerador!$A$7,"Depto","San Marcos","Año",2013)</f>
        <v>81035</v>
      </c>
      <c r="E21" s="39">
        <f ca="1">GETPIVOTDATA("Cantidad",Numerador!$A$7,"Depto","San Marcos","Año",2014)</f>
        <v>79277</v>
      </c>
      <c r="F21" s="39">
        <f ca="1">GETPIVOTDATA("Cantidad",Numerador!$A$7,"Depto","San Marcos","Año",2015)</f>
        <v>77599</v>
      </c>
      <c r="G21" s="40">
        <f ca="1">GETPIVOTDATA("Cantidad",Numerador!$A$7,"Depto","San Marcos","Año",2016)</f>
        <v>75601</v>
      </c>
      <c r="H21" s="41">
        <f ca="1">GETPIVOTDATA("Cantidad",Denominador!$A$7,"Depto","San Marcos","Año",2012)</f>
        <v>85080</v>
      </c>
      <c r="I21" s="45">
        <f ca="1">GETPIVOTDATA("Cantidad",Denominador!$A$7,"Depto","San Marcos","Año",2013)</f>
        <v>86079</v>
      </c>
      <c r="J21" s="45">
        <f ca="1">GETPIVOTDATA("Cantidad",Denominador!$A$7,"Depto","San Marcos","Año",2014)</f>
        <v>87305</v>
      </c>
      <c r="K21" s="45">
        <f ca="1">GETPIVOTDATA("Cantidad",Denominador!$A$7,"Depto","San Marcos","Año",2015)</f>
        <v>88539</v>
      </c>
      <c r="L21" s="46">
        <f ca="1">GETPIVOTDATA("Cantidad",Denominador!$A$7,"Depto","San Marcos","Año",2016)</f>
        <v>89687</v>
      </c>
      <c r="M21" s="47">
        <v>436212252.1</v>
      </c>
      <c r="N21" s="47">
        <v>474486173.77</v>
      </c>
      <c r="O21" s="47">
        <v>526839778.94</v>
      </c>
      <c r="P21" s="47">
        <v>588442350.41</v>
      </c>
      <c r="Q21" s="47">
        <v>600945517.89</v>
      </c>
    </row>
    <row r="22" spans="2:17">
      <c r="B22" s="38" t="s">
        <v>65</v>
      </c>
      <c r="C22" s="39">
        <f ca="1">GETPIVOTDATA("Cantidad",Numerador!$A$7,"Depto","Santa Rosa","Año",2012)</f>
        <v>27197</v>
      </c>
      <c r="D22" s="39">
        <f ca="1">GETPIVOTDATA("Cantidad",Numerador!$A$7,"Depto","Santa Rosa","Año",2013)</f>
        <v>26313</v>
      </c>
      <c r="E22" s="39">
        <f ca="1">GETPIVOTDATA("Cantidad",Numerador!$A$7,"Depto","Santa Rosa","Año",2014)</f>
        <v>25463</v>
      </c>
      <c r="F22" s="39">
        <f ca="1">GETPIVOTDATA("Cantidad",Numerador!$A$7,"Depto","Santa Rosa","Año",2015)</f>
        <v>25310</v>
      </c>
      <c r="G22" s="40">
        <f ca="1">GETPIVOTDATA("Cantidad",Numerador!$A$7,"Depto","Santa Rosa","Año",2016)</f>
        <v>24955</v>
      </c>
      <c r="H22" s="41">
        <f ca="1">GETPIVOTDATA("Cantidad",Denominador!$A$7,"Depto","Santa Rosa","Año",2012)</f>
        <v>27752</v>
      </c>
      <c r="I22" s="45">
        <f ca="1">GETPIVOTDATA("Cantidad",Denominador!$A$7,"Depto","Santa Rosa","Año",2013)</f>
        <v>27957</v>
      </c>
      <c r="J22" s="45">
        <f ca="1">GETPIVOTDATA("Cantidad",Denominador!$A$7,"Depto","Santa Rosa","Año",2014)</f>
        <v>28276</v>
      </c>
      <c r="K22" s="45">
        <f ca="1">GETPIVOTDATA("Cantidad",Denominador!$A$7,"Depto","Santa Rosa","Año",2015)</f>
        <v>28617</v>
      </c>
      <c r="L22" s="46">
        <f ca="1">GETPIVOTDATA("Cantidad",Denominador!$A$7,"Depto","Santa Rosa","Año",2016)</f>
        <v>28940</v>
      </c>
      <c r="M22" s="47">
        <v>151572644.12</v>
      </c>
      <c r="N22" s="47">
        <v>161481386.76</v>
      </c>
      <c r="O22" s="47">
        <v>179337834.57</v>
      </c>
      <c r="P22" s="47">
        <v>200046136.24</v>
      </c>
      <c r="Q22" s="47">
        <v>203192037.33</v>
      </c>
    </row>
    <row r="23" spans="2:17">
      <c r="B23" s="38" t="s">
        <v>66</v>
      </c>
      <c r="C23" s="39">
        <f ca="1">GETPIVOTDATA("Cantidad",Numerador!$A$7,"Depto","Sololá","Año",2012)</f>
        <v>30783</v>
      </c>
      <c r="D23" s="39">
        <f ca="1">GETPIVOTDATA("Cantidad",Numerador!$A$7,"Depto","Sololá","Año",2013)</f>
        <v>30150</v>
      </c>
      <c r="E23" s="39">
        <f ca="1">GETPIVOTDATA("Cantidad",Numerador!$A$7,"Depto","Sololá","Año",2014)</f>
        <v>29717</v>
      </c>
      <c r="F23" s="39">
        <f ca="1">GETPIVOTDATA("Cantidad",Numerador!$A$7,"Depto","Sololá","Año",2015)</f>
        <v>29313</v>
      </c>
      <c r="G23" s="40">
        <f ca="1">GETPIVOTDATA("Cantidad",Numerador!$A$7,"Depto","Sololá","Año",2016)</f>
        <v>28649</v>
      </c>
      <c r="H23" s="41">
        <f ca="1">GETPIVOTDATA("Cantidad",Denominador!$A$7,"Depto","Sololá","Año",2012)</f>
        <v>38419</v>
      </c>
      <c r="I23" s="45">
        <f ca="1">GETPIVOTDATA("Cantidad",Denominador!$A$7,"Depto","Sololá","Año",2013)</f>
        <v>39888</v>
      </c>
      <c r="J23" s="45">
        <f ca="1">GETPIVOTDATA("Cantidad",Denominador!$A$7,"Depto","Sololá","Año",2014)</f>
        <v>42206</v>
      </c>
      <c r="K23" s="45">
        <f ca="1">GETPIVOTDATA("Cantidad",Denominador!$A$7,"Depto","Sololá","Año",2015)</f>
        <v>43633</v>
      </c>
      <c r="L23" s="46">
        <f ca="1">GETPIVOTDATA("Cantidad",Denominador!$A$7,"Depto","Sololá","Año",2016)</f>
        <v>44780</v>
      </c>
      <c r="M23" s="47">
        <v>190664417.16</v>
      </c>
      <c r="N23" s="47">
        <v>210533413.13</v>
      </c>
      <c r="O23" s="47">
        <v>234798149.08</v>
      </c>
      <c r="P23" s="47">
        <v>261155535.87</v>
      </c>
      <c r="Q23" s="47">
        <v>266533495.03</v>
      </c>
    </row>
    <row r="24" spans="2:17">
      <c r="B24" s="38" t="s">
        <v>67</v>
      </c>
      <c r="C24" s="39">
        <f ca="1">GETPIVOTDATA("Cantidad",Numerador!$A$7,"Depto","Suchitepéquez","Año",2012)</f>
        <v>39563</v>
      </c>
      <c r="D24" s="39">
        <f ca="1">GETPIVOTDATA("Cantidad",Numerador!$A$7,"Depto","Suchitepéquez","Año",2013)</f>
        <v>38987</v>
      </c>
      <c r="E24" s="39">
        <f ca="1">GETPIVOTDATA("Cantidad",Numerador!$A$7,"Depto","Suchitepéquez","Año",2014)</f>
        <v>37881</v>
      </c>
      <c r="F24" s="39">
        <f ca="1">GETPIVOTDATA("Cantidad",Numerador!$A$7,"Depto","Suchitepéquez","Año",2015)</f>
        <v>37574</v>
      </c>
      <c r="G24" s="40">
        <f ca="1">GETPIVOTDATA("Cantidad",Numerador!$A$7,"Depto","Suchitepéquez","Año",2016)</f>
        <v>37016</v>
      </c>
      <c r="H24" s="41">
        <f ca="1">GETPIVOTDATA("Cantidad",Denominador!$A$7,"Depto","Suchitepéquez","Año",2012)</f>
        <v>42455</v>
      </c>
      <c r="I24" s="45">
        <f ca="1">GETPIVOTDATA("Cantidad",Denominador!$A$7,"Depto","Suchitepéquez","Año",2013)</f>
        <v>43072</v>
      </c>
      <c r="J24" s="45">
        <f ca="1">GETPIVOTDATA("Cantidad",Denominador!$A$7,"Depto","Suchitepéquez","Año",2014)</f>
        <v>43741</v>
      </c>
      <c r="K24" s="45">
        <f ca="1">GETPIVOTDATA("Cantidad",Denominador!$A$7,"Depto","Suchitepéquez","Año",2015)</f>
        <v>44489</v>
      </c>
      <c r="L24" s="46">
        <f ca="1">GETPIVOTDATA("Cantidad",Denominador!$A$7,"Depto","Suchitepéquez","Año",2016)</f>
        <v>45209</v>
      </c>
      <c r="M24" s="47">
        <v>193585695.77</v>
      </c>
      <c r="N24" s="47">
        <v>212921106.96</v>
      </c>
      <c r="O24" s="47">
        <v>233743013.07</v>
      </c>
      <c r="P24" s="47">
        <v>261057308.43</v>
      </c>
      <c r="Q24" s="47">
        <v>264677710.23</v>
      </c>
    </row>
    <row r="25" spans="2:17">
      <c r="B25" s="38" t="s">
        <v>68</v>
      </c>
      <c r="C25" s="39">
        <f ca="1">GETPIVOTDATA("Cantidad",Numerador!$A$7,"Depto","Totonicapán","Año",2012)</f>
        <v>33588</v>
      </c>
      <c r="D25" s="39">
        <f ca="1">GETPIVOTDATA("Cantidad",Numerador!$A$7,"Depto","Totonicapán","Año",2013)</f>
        <v>32843</v>
      </c>
      <c r="E25" s="39">
        <f ca="1">GETPIVOTDATA("Cantidad",Numerador!$A$7,"Depto","Totonicapán","Año",2014)</f>
        <v>32047</v>
      </c>
      <c r="F25" s="39">
        <f ca="1">GETPIVOTDATA("Cantidad",Numerador!$A$7,"Depto","Totonicapán","Año",2015)</f>
        <v>30995</v>
      </c>
      <c r="G25" s="40">
        <f ca="1">GETPIVOTDATA("Cantidad",Numerador!$A$7,"Depto","Totonicapán","Año",2016)</f>
        <v>29985</v>
      </c>
      <c r="H25" s="41">
        <f ca="1">GETPIVOTDATA("Cantidad",Denominador!$A$7,"Depto","Totonicapán","Año",2012)</f>
        <v>42226</v>
      </c>
      <c r="I25" s="45">
        <f ca="1">GETPIVOTDATA("Cantidad",Denominador!$A$7,"Depto","Totonicapán","Año",2013)</f>
        <v>43960</v>
      </c>
      <c r="J25" s="45">
        <f ca="1">GETPIVOTDATA("Cantidad",Denominador!$A$7,"Depto","Totonicapán","Año",2014)</f>
        <v>47394</v>
      </c>
      <c r="K25" s="45">
        <f ca="1">GETPIVOTDATA("Cantidad",Denominador!$A$7,"Depto","Totonicapán","Año",2015)</f>
        <v>49227</v>
      </c>
      <c r="L25" s="46">
        <f ca="1">GETPIVOTDATA("Cantidad",Denominador!$A$7,"Depto","Totonicapán","Año",2016)</f>
        <v>50750</v>
      </c>
      <c r="M25" s="47">
        <v>169752398.63</v>
      </c>
      <c r="N25" s="47">
        <v>185484884.45</v>
      </c>
      <c r="O25" s="47">
        <v>204385489.57</v>
      </c>
      <c r="P25" s="47">
        <v>225850042.24</v>
      </c>
      <c r="Q25" s="47">
        <v>232471923.82</v>
      </c>
    </row>
    <row r="26" spans="2:17">
      <c r="B26" s="38" t="s">
        <v>69</v>
      </c>
      <c r="C26" s="39">
        <f ca="1">GETPIVOTDATA("Cantidad",Numerador!$A$7,"Depto","Zacapa","Año",2012)</f>
        <v>17157</v>
      </c>
      <c r="D26" s="39">
        <f ca="1">GETPIVOTDATA("Cantidad",Numerador!$A$7,"Depto","Zacapa","Año",2013)</f>
        <v>16638</v>
      </c>
      <c r="E26" s="39">
        <f ca="1">GETPIVOTDATA("Cantidad",Numerador!$A$7,"Depto","Zacapa","Año",2014)</f>
        <v>15986</v>
      </c>
      <c r="F26" s="39">
        <f ca="1">GETPIVOTDATA("Cantidad",Numerador!$A$7,"Depto","Zacapa","Año",2015)</f>
        <v>15680</v>
      </c>
      <c r="G26" s="40">
        <f ca="1">GETPIVOTDATA("Cantidad",Numerador!$A$7,"Depto","Zacapa","Año",2016)</f>
        <v>15531</v>
      </c>
      <c r="H26" s="41">
        <f ca="1">GETPIVOTDATA("Cantidad",Denominador!$A$7,"Depto","Zacapa","Año",2012)</f>
        <v>17316</v>
      </c>
      <c r="I26" s="45">
        <f ca="1">GETPIVOTDATA("Cantidad",Denominador!$A$7,"Depto","Zacapa","Año",2013)</f>
        <v>17339</v>
      </c>
      <c r="J26" s="45">
        <f ca="1">GETPIVOTDATA("Cantidad",Denominador!$A$7,"Depto","Zacapa","Año",2014)</f>
        <v>16899</v>
      </c>
      <c r="K26" s="45">
        <f ca="1">GETPIVOTDATA("Cantidad",Denominador!$A$7,"Depto","Zacapa","Año",2015)</f>
        <v>16872</v>
      </c>
      <c r="L26" s="46">
        <f ca="1">GETPIVOTDATA("Cantidad",Denominador!$A$7,"Depto","Zacapa","Año",2016)</f>
        <v>16874</v>
      </c>
      <c r="M26" s="47">
        <v>97149931.22</v>
      </c>
      <c r="N26" s="47">
        <v>103614429.47</v>
      </c>
      <c r="O26" s="47">
        <v>114855108.9</v>
      </c>
      <c r="P26" s="47">
        <v>127183040.56</v>
      </c>
      <c r="Q26" s="47">
        <v>126859086.98</v>
      </c>
    </row>
    <row r="27" spans="2:17">
      <c r="B27" s="20" t="s">
        <v>47</v>
      </c>
      <c r="C27" s="21">
        <f ca="1" t="shared" ref="C27:G27" si="0">SUM(C5:C26)</f>
        <v>1074773</v>
      </c>
      <c r="D27" s="21">
        <f ca="1" t="shared" si="0"/>
        <v>1050471</v>
      </c>
      <c r="E27" s="21">
        <f ca="1" t="shared" si="0"/>
        <v>1028252</v>
      </c>
      <c r="F27" s="21">
        <f ca="1" t="shared" si="0"/>
        <v>1020690</v>
      </c>
      <c r="G27" s="42">
        <f ca="1" t="shared" si="0"/>
        <v>1007103</v>
      </c>
      <c r="H27" s="43">
        <f ca="1" t="shared" ref="H27:Q27" si="1">SUM(H5:H26)</f>
        <v>1199009</v>
      </c>
      <c r="I27" s="29">
        <f ca="1" t="shared" si="1"/>
        <v>1222021</v>
      </c>
      <c r="J27" s="29">
        <f ca="1" t="shared" si="1"/>
        <v>1243533</v>
      </c>
      <c r="K27" s="29">
        <f ca="1" t="shared" si="1"/>
        <v>1263371</v>
      </c>
      <c r="L27" s="48">
        <f ca="1" t="shared" si="1"/>
        <v>1281709</v>
      </c>
      <c r="M27" s="49">
        <f t="shared" si="1"/>
        <v>5277657965.84</v>
      </c>
      <c r="N27" s="49">
        <f t="shared" si="1"/>
        <v>5694752944.96</v>
      </c>
      <c r="O27" s="49">
        <f t="shared" si="1"/>
        <v>6327679279.7</v>
      </c>
      <c r="P27" s="49">
        <f t="shared" si="1"/>
        <v>7035600349.53</v>
      </c>
      <c r="Q27" s="49">
        <f t="shared" si="1"/>
        <v>7151335979.89</v>
      </c>
    </row>
    <row r="31" spans="11:15">
      <c r="K31" s="50"/>
      <c r="L31" s="50"/>
      <c r="M31" s="32"/>
      <c r="N31" s="32"/>
      <c r="O31" s="51"/>
    </row>
    <row r="32" spans="2:15">
      <c r="B32" s="1" t="s">
        <v>79</v>
      </c>
      <c r="C32" s="2">
        <v>2012</v>
      </c>
      <c r="D32" s="2">
        <v>2013</v>
      </c>
      <c r="E32" s="2">
        <v>2014</v>
      </c>
      <c r="F32" s="2">
        <v>2015</v>
      </c>
      <c r="G32" s="2">
        <v>2016</v>
      </c>
      <c r="H32" s="3" t="s">
        <v>80</v>
      </c>
      <c r="J32" s="1" t="s">
        <v>79</v>
      </c>
      <c r="K32" s="2" t="s">
        <v>81</v>
      </c>
      <c r="L32" s="2" t="s">
        <v>82</v>
      </c>
      <c r="M32" s="2" t="s">
        <v>83</v>
      </c>
      <c r="N32" s="52"/>
      <c r="O32" s="51"/>
    </row>
    <row r="33" spans="2:15">
      <c r="B33" s="4" t="s">
        <v>48</v>
      </c>
      <c r="C33" s="5">
        <f ca="1">GETPIVOTDATA("Cantidad",Numerador!$A$7,"Depto","Alta Verapaz","Año",2012)</f>
        <v>85161</v>
      </c>
      <c r="D33" s="5">
        <f ca="1">GETPIVOTDATA("Cantidad",Numerador!$A$7,"Depto","Alta Verapaz","Año",2013)</f>
        <v>84385</v>
      </c>
      <c r="E33" s="5">
        <f ca="1">GETPIVOTDATA("Cantidad",Numerador!$A$7,"Depto","Alta Verapaz","Año",2014)</f>
        <v>83437</v>
      </c>
      <c r="F33" s="5">
        <f ca="1">GETPIVOTDATA("Cantidad",Numerador!$A$7,"Depto","Alta Verapaz","Año",2015)</f>
        <v>83851</v>
      </c>
      <c r="G33" s="5">
        <f ca="1">GETPIVOTDATA("Cantidad",Numerador!$A$7,"Depto","Alta Verapaz","Año",2016)</f>
        <v>84117</v>
      </c>
      <c r="H33" s="10" t="s">
        <v>81</v>
      </c>
      <c r="J33" s="4" t="s">
        <v>48</v>
      </c>
      <c r="K33" s="5">
        <f ca="1">GETPIVOTDATA("Cantidad",Numerador!$A$7,"Depto","Alta Verapaz","Año",2012)</f>
        <v>85161</v>
      </c>
      <c r="L33" s="6">
        <f ca="1">GETPIVOTDATA("Cantidad",Denominador!$A$7,"Depto","Alta Verapaz","Año",2012)</f>
        <v>103498</v>
      </c>
      <c r="M33" s="7">
        <v>2012</v>
      </c>
      <c r="N33" s="53"/>
      <c r="O33" s="51"/>
    </row>
    <row r="34" spans="2:15">
      <c r="B34" s="4" t="s">
        <v>49</v>
      </c>
      <c r="C34" s="5">
        <f ca="1">GETPIVOTDATA("Cantidad",Numerador!$A$7,"Depto","Baja Verapaz","Año",2012)</f>
        <v>21119</v>
      </c>
      <c r="D34" s="5">
        <f ca="1">GETPIVOTDATA("Cantidad",Numerador!$A$7,"Depto","Baja Verapaz","Año",2013)</f>
        <v>20306</v>
      </c>
      <c r="E34" s="5">
        <f ca="1">GETPIVOTDATA("Cantidad",Numerador!$A$7,"Depto","Baja Verapaz","Año",2014)</f>
        <v>19941</v>
      </c>
      <c r="F34" s="5">
        <f ca="1">GETPIVOTDATA("Cantidad",Numerador!$A$7,"Depto","Baja Verapaz","Año",2015)</f>
        <v>19811</v>
      </c>
      <c r="G34" s="5">
        <f ca="1">GETPIVOTDATA("Cantidad",Numerador!$A$7,"Depto","Baja Verapaz","Año",2016)</f>
        <v>19239</v>
      </c>
      <c r="H34" s="10" t="s">
        <v>81</v>
      </c>
      <c r="J34" s="4" t="s">
        <v>49</v>
      </c>
      <c r="K34" s="5">
        <f ca="1">GETPIVOTDATA("Cantidad",Numerador!$A$7,"Depto","Baja Verapaz","Año",2012)</f>
        <v>21119</v>
      </c>
      <c r="L34" s="6">
        <f ca="1">GETPIVOTDATA("Cantidad",Denominador!$A$7,"Depto","Baja Verapaz","Año",2012)</f>
        <v>23549</v>
      </c>
      <c r="M34" s="7">
        <v>2012</v>
      </c>
      <c r="N34" s="53"/>
      <c r="O34" s="51"/>
    </row>
    <row r="35" spans="2:15">
      <c r="B35" s="4" t="s">
        <v>50</v>
      </c>
      <c r="C35" s="5">
        <f ca="1">GETPIVOTDATA("Cantidad",Numerador!$A$7,"Depto","Chimaltenango","Año",2012)</f>
        <v>44192</v>
      </c>
      <c r="D35" s="5">
        <f ca="1">GETPIVOTDATA("Cantidad",Numerador!$A$7,"Depto","Chimaltenango","Año",2013)</f>
        <v>43313</v>
      </c>
      <c r="E35" s="5">
        <f ca="1">GETPIVOTDATA("Cantidad",Numerador!$A$7,"Depto","Chimaltenango","Año",2014)</f>
        <v>42588</v>
      </c>
      <c r="F35" s="5">
        <f ca="1">GETPIVOTDATA("Cantidad",Numerador!$A$7,"Depto","Chimaltenango","Año",2015)</f>
        <v>42309</v>
      </c>
      <c r="G35" s="5">
        <f ca="1">GETPIVOTDATA("Cantidad",Numerador!$A$7,"Depto","Chimaltenango","Año",2016)</f>
        <v>41893</v>
      </c>
      <c r="H35" s="10" t="s">
        <v>81</v>
      </c>
      <c r="J35" s="4" t="s">
        <v>50</v>
      </c>
      <c r="K35" s="5">
        <f ca="1">GETPIVOTDATA("Cantidad",Numerador!$A$7,"Depto","Chimaltenango","Año",2012)</f>
        <v>44192</v>
      </c>
      <c r="L35" s="6">
        <f ca="1">GETPIVOTDATA("Cantidad",Denominador!$A$7,"Depto","Chimaltenango","Año",2012)</f>
        <v>53800</v>
      </c>
      <c r="M35" s="7">
        <v>2012</v>
      </c>
      <c r="N35" s="53"/>
      <c r="O35" s="51"/>
    </row>
    <row r="36" spans="2:15">
      <c r="B36" s="4" t="s">
        <v>51</v>
      </c>
      <c r="C36" s="5">
        <f ca="1">GETPIVOTDATA("Cantidad",Numerador!$A$7,"Depto","Chiquimula","Año",2012)</f>
        <v>29420</v>
      </c>
      <c r="D36" s="5">
        <f ca="1">GETPIVOTDATA("Cantidad",Numerador!$A$7,"Depto","Chiquimula","Año",2013)</f>
        <v>28632</v>
      </c>
      <c r="E36" s="5">
        <f ca="1">GETPIVOTDATA("Cantidad",Numerador!$A$7,"Depto","Chiquimula","Año",2014)</f>
        <v>28318</v>
      </c>
      <c r="F36" s="5">
        <f ca="1">GETPIVOTDATA("Cantidad",Numerador!$A$7,"Depto","Chiquimula","Año",2015)</f>
        <v>28456</v>
      </c>
      <c r="G36" s="5">
        <f ca="1">GETPIVOTDATA("Cantidad",Numerador!$A$7,"Depto","Chiquimula","Año",2016)</f>
        <v>27583</v>
      </c>
      <c r="H36" s="10" t="s">
        <v>81</v>
      </c>
      <c r="J36" s="4" t="s">
        <v>51</v>
      </c>
      <c r="K36" s="5">
        <f ca="1">GETPIVOTDATA("Cantidad",Numerador!$A$7,"Depto","Chiquimula","Año",2012)</f>
        <v>29420</v>
      </c>
      <c r="L36" s="6">
        <f ca="1">GETPIVOTDATA("Cantidad",Denominador!$A$7,"Depto","Chiquimula","Año",2012)</f>
        <v>32116</v>
      </c>
      <c r="M36" s="7">
        <v>2012</v>
      </c>
      <c r="N36" s="53"/>
      <c r="O36" s="51"/>
    </row>
    <row r="37" spans="2:15">
      <c r="B37" s="4" t="s">
        <v>52</v>
      </c>
      <c r="C37" s="5">
        <f ca="1">GETPIVOTDATA("Cantidad",Numerador!$A$7,"Depto","El Progreso","Año",2012)</f>
        <v>12003</v>
      </c>
      <c r="D37" s="5">
        <f ca="1">GETPIVOTDATA("Cantidad",Numerador!$A$7,"Depto","El Progreso","Año",2013)</f>
        <v>11515</v>
      </c>
      <c r="E37" s="5">
        <f ca="1">GETPIVOTDATA("Cantidad",Numerador!$A$7,"Depto","El Progreso","Año",2014)</f>
        <v>11178</v>
      </c>
      <c r="F37" s="5">
        <f ca="1">GETPIVOTDATA("Cantidad",Numerador!$A$7,"Depto","El Progreso","Año",2015)</f>
        <v>10977</v>
      </c>
      <c r="G37" s="5">
        <f ca="1">GETPIVOTDATA("Cantidad",Numerador!$A$7,"Depto","El Progreso","Año",2016)</f>
        <v>10856</v>
      </c>
      <c r="H37" s="10" t="s">
        <v>81</v>
      </c>
      <c r="J37" s="4" t="s">
        <v>52</v>
      </c>
      <c r="K37" s="5">
        <f ca="1">GETPIVOTDATA("Cantidad",Numerador!$A$7,"Depto","El Progreso","Año",2012)</f>
        <v>12003</v>
      </c>
      <c r="L37" s="6">
        <f ca="1">GETPIVOTDATA("Cantidad",Denominador!$A$7,"Depto","El Progreso","Año",2012)</f>
        <v>12122</v>
      </c>
      <c r="M37" s="7">
        <v>2012</v>
      </c>
      <c r="N37" s="53"/>
      <c r="O37" s="51"/>
    </row>
    <row r="38" spans="2:15">
      <c r="B38" s="4" t="s">
        <v>53</v>
      </c>
      <c r="C38" s="5">
        <f ca="1">GETPIVOTDATA("Cantidad",Numerador!$A$7,"Depto","Escuintla","Año",2012)</f>
        <v>48584</v>
      </c>
      <c r="D38" s="5">
        <f ca="1">GETPIVOTDATA("Cantidad",Numerador!$A$7,"Depto","Escuintla","Año",2013)</f>
        <v>47512</v>
      </c>
      <c r="E38" s="5">
        <f ca="1">GETPIVOTDATA("Cantidad",Numerador!$A$7,"Depto","Escuintla","Año",2014)</f>
        <v>46483</v>
      </c>
      <c r="F38" s="5">
        <f ca="1">GETPIVOTDATA("Cantidad",Numerador!$A$7,"Depto","Escuintla","Año",2015)</f>
        <v>46541</v>
      </c>
      <c r="G38" s="5">
        <f ca="1">GETPIVOTDATA("Cantidad",Numerador!$A$7,"Depto","Escuintla","Año",2016)</f>
        <v>46670</v>
      </c>
      <c r="H38" s="10" t="s">
        <v>81</v>
      </c>
      <c r="J38" s="4" t="s">
        <v>53</v>
      </c>
      <c r="K38" s="5">
        <f ca="1">GETPIVOTDATA("Cantidad",Numerador!$A$7,"Depto","Escuintla","Año",2012)</f>
        <v>48584</v>
      </c>
      <c r="L38" s="6">
        <f ca="1">GETPIVOTDATA("Cantidad",Denominador!$A$7,"Depto","Escuintla","Año",2012)</f>
        <v>51947</v>
      </c>
      <c r="M38" s="7">
        <v>2012</v>
      </c>
      <c r="N38" s="53"/>
      <c r="O38" s="51"/>
    </row>
    <row r="39" spans="2:15">
      <c r="B39" s="4" t="s">
        <v>54</v>
      </c>
      <c r="C39" s="5">
        <f ca="1">GETPIVOTDATA("Cantidad",Numerador!$A$7,"Depto","Guatemala","Año",2012)</f>
        <v>197115</v>
      </c>
      <c r="D39" s="5">
        <f ca="1">GETPIVOTDATA("Cantidad",Numerador!$A$7,"Depto","Guatemala","Año",2013)</f>
        <v>193253</v>
      </c>
      <c r="E39" s="5">
        <f ca="1">GETPIVOTDATA("Cantidad",Numerador!$A$7,"Depto","Guatemala","Año",2014)</f>
        <v>191688</v>
      </c>
      <c r="F39" s="5">
        <f ca="1">GETPIVOTDATA("Cantidad",Numerador!$A$7,"Depto","Guatemala","Año",2015)</f>
        <v>192638</v>
      </c>
      <c r="G39" s="5">
        <f ca="1">GETPIVOTDATA("Cantidad",Numerador!$A$7,"Depto","Guatemala","Año",2016)</f>
        <v>193464</v>
      </c>
      <c r="H39" s="10" t="s">
        <v>81</v>
      </c>
      <c r="J39" s="4" t="s">
        <v>54</v>
      </c>
      <c r="K39" s="5">
        <f ca="1">GETPIVOTDATA("Cantidad",Numerador!$A$7,"Depto","Guatemala","Año",2012)</f>
        <v>197115</v>
      </c>
      <c r="L39" s="6">
        <f ca="1">GETPIVOTDATA("Cantidad",Denominador!$A$7,"Depto","Guatemala","Año",2012)</f>
        <v>211210</v>
      </c>
      <c r="M39" s="7">
        <v>2012</v>
      </c>
      <c r="N39" s="53"/>
      <c r="O39" s="51"/>
    </row>
    <row r="40" spans="2:15">
      <c r="B40" s="4" t="s">
        <v>55</v>
      </c>
      <c r="C40" s="5">
        <f ca="1">GETPIVOTDATA("Cantidad",Numerador!$A$7,"Depto","Huehuetenango","Año",2012)</f>
        <v>92683</v>
      </c>
      <c r="D40" s="5">
        <f ca="1">GETPIVOTDATA("Cantidad",Numerador!$A$7,"Depto","Huehuetenango","Año",2013)</f>
        <v>90458</v>
      </c>
      <c r="E40" s="5">
        <f ca="1">GETPIVOTDATA("Cantidad",Numerador!$A$7,"Depto","Huehuetenango","Año",2014)</f>
        <v>88786</v>
      </c>
      <c r="F40" s="5">
        <f ca="1">GETPIVOTDATA("Cantidad",Numerador!$A$7,"Depto","Huehuetenango","Año",2015)</f>
        <v>87662</v>
      </c>
      <c r="G40" s="5">
        <f ca="1">GETPIVOTDATA("Cantidad",Numerador!$A$7,"Depto","Huehuetenango","Año",2016)</f>
        <v>85323</v>
      </c>
      <c r="H40" s="10" t="s">
        <v>81</v>
      </c>
      <c r="J40" s="4" t="s">
        <v>55</v>
      </c>
      <c r="K40" s="5">
        <f ca="1">GETPIVOTDATA("Cantidad",Numerador!$A$7,"Depto","Huehuetenango","Año",2012)</f>
        <v>92683</v>
      </c>
      <c r="L40" s="6">
        <f ca="1">GETPIVOTDATA("Cantidad",Denominador!$A$7,"Depto","Huehuetenango","Año",2012)</f>
        <v>100102</v>
      </c>
      <c r="M40" s="7">
        <v>2012</v>
      </c>
      <c r="N40" s="53"/>
      <c r="O40" s="51"/>
    </row>
    <row r="41" spans="2:15">
      <c r="B41" s="4" t="s">
        <v>56</v>
      </c>
      <c r="C41" s="5">
        <f ca="1">GETPIVOTDATA("Cantidad",Numerador!$A$7,"Depto","Izabal","Año",2012)</f>
        <v>30444</v>
      </c>
      <c r="D41" s="5">
        <f ca="1">GETPIVOTDATA("Cantidad",Numerador!$A$7,"Depto","Izabal","Año",2013)</f>
        <v>29570</v>
      </c>
      <c r="E41" s="5">
        <f ca="1">GETPIVOTDATA("Cantidad",Numerador!$A$7,"Depto","Izabal","Año",2014)</f>
        <v>27991</v>
      </c>
      <c r="F41" s="5">
        <f ca="1">GETPIVOTDATA("Cantidad",Numerador!$A$7,"Depto","Izabal","Año",2015)</f>
        <v>27670</v>
      </c>
      <c r="G41" s="5">
        <f ca="1">GETPIVOTDATA("Cantidad",Numerador!$A$7,"Depto","Izabal","Año",2016)</f>
        <v>27096</v>
      </c>
      <c r="H41" s="10" t="s">
        <v>81</v>
      </c>
      <c r="J41" s="4" t="s">
        <v>56</v>
      </c>
      <c r="K41" s="5">
        <f ca="1">GETPIVOTDATA("Cantidad",Numerador!$A$7,"Depto","Izabal","Año",2012)</f>
        <v>30444</v>
      </c>
      <c r="L41" s="6">
        <f ca="1">GETPIVOTDATA("Cantidad",Denominador!$A$7,"Depto","Izabal","Año",2012)</f>
        <v>34793</v>
      </c>
      <c r="M41" s="7">
        <v>2012</v>
      </c>
      <c r="N41" s="53"/>
      <c r="O41" s="51"/>
    </row>
    <row r="42" spans="2:15">
      <c r="B42" s="4" t="s">
        <v>57</v>
      </c>
      <c r="C42" s="5">
        <f ca="1">GETPIVOTDATA("Cantidad",Numerador!$A$7,"Depto","Jalapa","Año",2012)</f>
        <v>25353</v>
      </c>
      <c r="D42" s="5">
        <f ca="1">GETPIVOTDATA("Cantidad",Numerador!$A$7,"Depto","Jalapa","Año",2013)</f>
        <v>24803</v>
      </c>
      <c r="E42" s="5">
        <f ca="1">GETPIVOTDATA("Cantidad",Numerador!$A$7,"Depto","Jalapa","Año",2014)</f>
        <v>24130</v>
      </c>
      <c r="F42" s="5">
        <f ca="1">GETPIVOTDATA("Cantidad",Numerador!$A$7,"Depto","Jalapa","Año",2015)</f>
        <v>24119</v>
      </c>
      <c r="G42" s="5">
        <f ca="1">GETPIVOTDATA("Cantidad",Numerador!$A$7,"Depto","Jalapa","Año",2016)</f>
        <v>23446</v>
      </c>
      <c r="H42" s="10" t="s">
        <v>81</v>
      </c>
      <c r="J42" s="4" t="s">
        <v>57</v>
      </c>
      <c r="K42" s="5">
        <f ca="1">GETPIVOTDATA("Cantidad",Numerador!$A$7,"Depto","Jalapa","Año",2012)</f>
        <v>25353</v>
      </c>
      <c r="L42" s="6">
        <f ca="1">GETPIVOTDATA("Cantidad",Denominador!$A$7,"Depto","Jalapa","Año",2012)</f>
        <v>28701</v>
      </c>
      <c r="M42" s="7">
        <v>2012</v>
      </c>
      <c r="N42" s="53"/>
      <c r="O42" s="51"/>
    </row>
    <row r="43" spans="2:15">
      <c r="B43" s="4" t="s">
        <v>58</v>
      </c>
      <c r="C43" s="5">
        <f ca="1">GETPIVOTDATA("Cantidad",Numerador!$A$7,"Depto","Jutiapa","Año",2012)</f>
        <v>34993</v>
      </c>
      <c r="D43" s="5">
        <f ca="1">GETPIVOTDATA("Cantidad",Numerador!$A$7,"Depto","Jutiapa","Año",2013)</f>
        <v>33729</v>
      </c>
      <c r="E43" s="5">
        <f ca="1">GETPIVOTDATA("Cantidad",Numerador!$A$7,"Depto","Jutiapa","Año",2014)</f>
        <v>32465</v>
      </c>
      <c r="F43" s="5">
        <f ca="1">GETPIVOTDATA("Cantidad",Numerador!$A$7,"Depto","Jutiapa","Año",2015)</f>
        <v>31658</v>
      </c>
      <c r="G43" s="5">
        <f ca="1">GETPIVOTDATA("Cantidad",Numerador!$A$7,"Depto","Jutiapa","Año",2016)</f>
        <v>31141</v>
      </c>
      <c r="H43" s="10" t="s">
        <v>81</v>
      </c>
      <c r="J43" s="4" t="s">
        <v>58</v>
      </c>
      <c r="K43" s="5">
        <f ca="1">GETPIVOTDATA("Cantidad",Numerador!$A$7,"Depto","Jutiapa","Año",2012)</f>
        <v>34993</v>
      </c>
      <c r="L43" s="6">
        <f ca="1">GETPIVOTDATA("Cantidad",Denominador!$A$7,"Depto","Jutiapa","Año",2012)</f>
        <v>36137</v>
      </c>
      <c r="M43" s="7">
        <v>2012</v>
      </c>
      <c r="N43" s="53"/>
      <c r="O43" s="51"/>
    </row>
    <row r="44" spans="2:15">
      <c r="B44" s="4" t="s">
        <v>59</v>
      </c>
      <c r="C44" s="5">
        <f ca="1">GETPIVOTDATA("Cantidad",Numerador!$A$7,"Depto","Petén","Año",2012)</f>
        <v>41975</v>
      </c>
      <c r="D44" s="5">
        <f ca="1">GETPIVOTDATA("Cantidad",Numerador!$A$7,"Depto","Petén","Año",2013)</f>
        <v>40019</v>
      </c>
      <c r="E44" s="5">
        <f ca="1">GETPIVOTDATA("Cantidad",Numerador!$A$7,"Depto","Petén","Año",2014)</f>
        <v>38581</v>
      </c>
      <c r="F44" s="5">
        <f ca="1">GETPIVOTDATA("Cantidad",Numerador!$A$7,"Depto","Petén","Año",2015)</f>
        <v>38596</v>
      </c>
      <c r="G44" s="5">
        <f ca="1">GETPIVOTDATA("Cantidad",Numerador!$A$7,"Depto","Petén","Año",2016)</f>
        <v>38437</v>
      </c>
      <c r="H44" s="10" t="s">
        <v>81</v>
      </c>
      <c r="J44" s="4" t="s">
        <v>59</v>
      </c>
      <c r="K44" s="5">
        <f ca="1">GETPIVOTDATA("Cantidad",Numerador!$A$7,"Depto","Petén","Año",2012)</f>
        <v>41975</v>
      </c>
      <c r="L44" s="6">
        <f ca="1">GETPIVOTDATA("Cantidad",Denominador!$A$7,"Depto","Petén","Año",2012)</f>
        <v>57182</v>
      </c>
      <c r="M44" s="7">
        <v>2012</v>
      </c>
      <c r="N44" s="53"/>
      <c r="O44" s="51"/>
    </row>
    <row r="45" spans="2:15">
      <c r="B45" s="4" t="s">
        <v>60</v>
      </c>
      <c r="C45" s="5">
        <f ca="1">GETPIVOTDATA("Cantidad",Numerador!$A$7,"Depto","Quetzaltenango","Año",2012)</f>
        <v>59543</v>
      </c>
      <c r="D45" s="5">
        <f ca="1">GETPIVOTDATA("Cantidad",Numerador!$A$7,"Depto","Quetzaltenango","Año",2013)</f>
        <v>58079</v>
      </c>
      <c r="E45" s="5">
        <f ca="1">GETPIVOTDATA("Cantidad",Numerador!$A$7,"Depto","Quetzaltenango","Año",2014)</f>
        <v>56212</v>
      </c>
      <c r="F45" s="5">
        <f ca="1">GETPIVOTDATA("Cantidad",Numerador!$A$7,"Depto","Quetzaltenango","Año",2015)</f>
        <v>54713</v>
      </c>
      <c r="G45" s="5">
        <f ca="1">GETPIVOTDATA("Cantidad",Numerador!$A$7,"Depto","Quetzaltenango","Año",2016)</f>
        <v>52953</v>
      </c>
      <c r="H45" s="10" t="s">
        <v>81</v>
      </c>
      <c r="J45" s="4" t="s">
        <v>60</v>
      </c>
      <c r="K45" s="5">
        <f ca="1">GETPIVOTDATA("Cantidad",Numerador!$A$7,"Depto","Quetzaltenango","Año",2012)</f>
        <v>59543</v>
      </c>
      <c r="L45" s="6">
        <f ca="1">GETPIVOTDATA("Cantidad",Denominador!$A$7,"Depto","Quetzaltenango","Año",2012)</f>
        <v>62290</v>
      </c>
      <c r="M45" s="7">
        <v>2012</v>
      </c>
      <c r="N45" s="53"/>
      <c r="O45" s="51"/>
    </row>
    <row r="46" spans="2:15">
      <c r="B46" s="4" t="s">
        <v>61</v>
      </c>
      <c r="C46" s="5">
        <f ca="1">GETPIVOTDATA("Cantidad",Numerador!$A$7,"Depto","Quiché","Año",2012)</f>
        <v>75859</v>
      </c>
      <c r="D46" s="5">
        <f ca="1">GETPIVOTDATA("Cantidad",Numerador!$A$7,"Depto","Quiché","Año",2013)</f>
        <v>75049</v>
      </c>
      <c r="E46" s="5">
        <f ca="1">GETPIVOTDATA("Cantidad",Numerador!$A$7,"Depto","Quiché","Año",2014)</f>
        <v>73132</v>
      </c>
      <c r="F46" s="5">
        <f ca="1">GETPIVOTDATA("Cantidad",Numerador!$A$7,"Depto","Quiché","Año",2015)</f>
        <v>72493</v>
      </c>
      <c r="G46" s="5">
        <f ca="1">GETPIVOTDATA("Cantidad",Numerador!$A$7,"Depto","Quiché","Año",2016)</f>
        <v>70779</v>
      </c>
      <c r="H46" s="10" t="s">
        <v>81</v>
      </c>
      <c r="J46" s="4" t="s">
        <v>61</v>
      </c>
      <c r="K46" s="5">
        <f ca="1">GETPIVOTDATA("Cantidad",Numerador!$A$7,"Depto","Quiché","Año",2012)</f>
        <v>75859</v>
      </c>
      <c r="L46" s="6">
        <f ca="1">GETPIVOTDATA("Cantidad",Denominador!$A$7,"Depto","Quiché","Año",2012)</f>
        <v>90430</v>
      </c>
      <c r="M46" s="7">
        <v>2012</v>
      </c>
      <c r="N46" s="53"/>
      <c r="O46" s="51"/>
    </row>
    <row r="47" spans="2:15">
      <c r="B47" s="4" t="s">
        <v>62</v>
      </c>
      <c r="C47" s="5">
        <f ca="1">GETPIVOTDATA("Cantidad",Numerador!$A$7,"Depto","Retalhuleu","Año",2012)</f>
        <v>23546</v>
      </c>
      <c r="D47" s="5">
        <f ca="1">GETPIVOTDATA("Cantidad",Numerador!$A$7,"Depto","Retalhuleu","Año",2013)</f>
        <v>22810</v>
      </c>
      <c r="E47" s="5">
        <f ca="1">GETPIVOTDATA("Cantidad",Numerador!$A$7,"Depto","Retalhuleu","Año",2014)</f>
        <v>22054</v>
      </c>
      <c r="F47" s="5">
        <f ca="1">GETPIVOTDATA("Cantidad",Numerador!$A$7,"Depto","Retalhuleu","Año",2015)</f>
        <v>21835</v>
      </c>
      <c r="G47" s="5">
        <f ca="1">GETPIVOTDATA("Cantidad",Numerador!$A$7,"Depto","Retalhuleu","Año",2016)</f>
        <v>21440</v>
      </c>
      <c r="H47" s="10" t="s">
        <v>81</v>
      </c>
      <c r="J47" s="4" t="s">
        <v>62</v>
      </c>
      <c r="K47" s="5">
        <f ca="1">GETPIVOTDATA("Cantidad",Numerador!$A$7,"Depto","Retalhuleu","Año",2012)</f>
        <v>23546</v>
      </c>
      <c r="L47" s="6">
        <f ca="1">GETPIVOTDATA("Cantidad",Denominador!$A$7,"Depto","Retalhuleu","Año",2012)</f>
        <v>23814</v>
      </c>
      <c r="M47" s="7">
        <v>2012</v>
      </c>
      <c r="N47" s="53"/>
      <c r="O47" s="51"/>
    </row>
    <row r="48" spans="2:15">
      <c r="B48" s="4" t="s">
        <v>63</v>
      </c>
      <c r="C48" s="5">
        <f ca="1">GETPIVOTDATA("Cantidad",Numerador!$A$7,"Depto","Sacatepéquez","Año",2012)</f>
        <v>21543</v>
      </c>
      <c r="D48" s="5">
        <f ca="1">GETPIVOTDATA("Cantidad",Numerador!$A$7,"Depto","Sacatepéquez","Año",2013)</f>
        <v>21072</v>
      </c>
      <c r="E48" s="5">
        <f ca="1">GETPIVOTDATA("Cantidad",Numerador!$A$7,"Depto","Sacatepéquez","Año",2014)</f>
        <v>20897</v>
      </c>
      <c r="F48" s="5">
        <f ca="1">GETPIVOTDATA("Cantidad",Numerador!$A$7,"Depto","Sacatepéquez","Año",2015)</f>
        <v>20890</v>
      </c>
      <c r="G48" s="5">
        <f ca="1">GETPIVOTDATA("Cantidad",Numerador!$A$7,"Depto","Sacatepéquez","Año",2016)</f>
        <v>20929</v>
      </c>
      <c r="H48" s="10" t="s">
        <v>81</v>
      </c>
      <c r="J48" s="4" t="s">
        <v>63</v>
      </c>
      <c r="K48" s="5">
        <f ca="1">GETPIVOTDATA("Cantidad",Numerador!$A$7,"Depto","Sacatepéquez","Año",2012)</f>
        <v>21543</v>
      </c>
      <c r="L48" s="6">
        <f ca="1">GETPIVOTDATA("Cantidad",Denominador!$A$7,"Depto","Sacatepéquez","Año",2012)</f>
        <v>24070</v>
      </c>
      <c r="M48" s="7">
        <v>2012</v>
      </c>
      <c r="N48" s="53"/>
      <c r="O48" s="51"/>
    </row>
    <row r="49" spans="2:15">
      <c r="B49" s="4" t="s">
        <v>64</v>
      </c>
      <c r="C49" s="5">
        <f ca="1">GETPIVOTDATA("Cantidad",Numerador!$A$7,"Depto","San Marcos","Año",2012)</f>
        <v>82952</v>
      </c>
      <c r="D49" s="5">
        <f ca="1">GETPIVOTDATA("Cantidad",Numerador!$A$7,"Depto","San Marcos","Año",2013)</f>
        <v>81035</v>
      </c>
      <c r="E49" s="5">
        <f ca="1">GETPIVOTDATA("Cantidad",Numerador!$A$7,"Depto","San Marcos","Año",2014)</f>
        <v>79277</v>
      </c>
      <c r="F49" s="5">
        <f ca="1">GETPIVOTDATA("Cantidad",Numerador!$A$7,"Depto","San Marcos","Año",2015)</f>
        <v>77599</v>
      </c>
      <c r="G49" s="5">
        <f ca="1">GETPIVOTDATA("Cantidad",Numerador!$A$7,"Depto","San Marcos","Año",2016)</f>
        <v>75601</v>
      </c>
      <c r="H49" s="10" t="s">
        <v>81</v>
      </c>
      <c r="J49" s="4" t="s">
        <v>64</v>
      </c>
      <c r="K49" s="5">
        <f ca="1">GETPIVOTDATA("Cantidad",Numerador!$A$7,"Depto","San Marcos","Año",2012)</f>
        <v>82952</v>
      </c>
      <c r="L49" s="6">
        <f ca="1">GETPIVOTDATA("Cantidad",Denominador!$A$7,"Depto","San Marcos","Año",2012)</f>
        <v>85080</v>
      </c>
      <c r="M49" s="7">
        <v>2012</v>
      </c>
      <c r="N49" s="53"/>
      <c r="O49" s="51"/>
    </row>
    <row r="50" spans="2:15">
      <c r="B50" s="4" t="s">
        <v>65</v>
      </c>
      <c r="C50" s="5">
        <f ca="1">GETPIVOTDATA("Cantidad",Numerador!$A$7,"Depto","Santa Rosa","Año",2012)</f>
        <v>27197</v>
      </c>
      <c r="D50" s="5">
        <f ca="1">GETPIVOTDATA("Cantidad",Numerador!$A$7,"Depto","Santa Rosa","Año",2013)</f>
        <v>26313</v>
      </c>
      <c r="E50" s="5">
        <f ca="1">GETPIVOTDATA("Cantidad",Numerador!$A$7,"Depto","Santa Rosa","Año",2014)</f>
        <v>25463</v>
      </c>
      <c r="F50" s="5">
        <f ca="1">GETPIVOTDATA("Cantidad",Numerador!$A$7,"Depto","Santa Rosa","Año",2015)</f>
        <v>25310</v>
      </c>
      <c r="G50" s="5">
        <f ca="1">GETPIVOTDATA("Cantidad",Numerador!$A$7,"Depto","Santa Rosa","Año",2016)</f>
        <v>24955</v>
      </c>
      <c r="H50" s="10" t="s">
        <v>81</v>
      </c>
      <c r="J50" s="4" t="s">
        <v>65</v>
      </c>
      <c r="K50" s="5">
        <f ca="1">GETPIVOTDATA("Cantidad",Numerador!$A$7,"Depto","Santa Rosa","Año",2012)</f>
        <v>27197</v>
      </c>
      <c r="L50" s="6">
        <f ca="1">GETPIVOTDATA("Cantidad",Denominador!$A$7,"Depto","Santa Rosa","Año",2012)</f>
        <v>27752</v>
      </c>
      <c r="M50" s="7">
        <v>2012</v>
      </c>
      <c r="N50" s="53"/>
      <c r="O50" s="51"/>
    </row>
    <row r="51" spans="2:15">
      <c r="B51" s="4" t="s">
        <v>66</v>
      </c>
      <c r="C51" s="5">
        <f ca="1">GETPIVOTDATA("Cantidad",Numerador!$A$7,"Depto","Sololá","Año",2012)</f>
        <v>30783</v>
      </c>
      <c r="D51" s="5">
        <f ca="1">GETPIVOTDATA("Cantidad",Numerador!$A$7,"Depto","Sololá","Año",2013)</f>
        <v>30150</v>
      </c>
      <c r="E51" s="5">
        <f ca="1">GETPIVOTDATA("Cantidad",Numerador!$A$7,"Depto","Sololá","Año",2014)</f>
        <v>29717</v>
      </c>
      <c r="F51" s="5">
        <f ca="1">GETPIVOTDATA("Cantidad",Numerador!$A$7,"Depto","Sololá","Año",2015)</f>
        <v>29313</v>
      </c>
      <c r="G51" s="5">
        <f ca="1">GETPIVOTDATA("Cantidad",Numerador!$A$7,"Depto","Sololá","Año",2016)</f>
        <v>28649</v>
      </c>
      <c r="H51" s="10" t="s">
        <v>81</v>
      </c>
      <c r="J51" s="4" t="s">
        <v>66</v>
      </c>
      <c r="K51" s="5">
        <f ca="1">GETPIVOTDATA("Cantidad",Numerador!$A$7,"Depto","Sololá","Año",2012)</f>
        <v>30783</v>
      </c>
      <c r="L51" s="6">
        <f ca="1">GETPIVOTDATA("Cantidad",Denominador!$A$7,"Depto","Sololá","Año",2012)</f>
        <v>38419</v>
      </c>
      <c r="M51" s="7">
        <v>2012</v>
      </c>
      <c r="N51" s="53"/>
      <c r="O51" s="51"/>
    </row>
    <row r="52" spans="2:15">
      <c r="B52" s="4" t="s">
        <v>67</v>
      </c>
      <c r="C52" s="5">
        <f ca="1">GETPIVOTDATA("Cantidad",Numerador!$A$7,"Depto","Suchitepéquez","Año",2012)</f>
        <v>39563</v>
      </c>
      <c r="D52" s="5">
        <f ca="1">GETPIVOTDATA("Cantidad",Numerador!$A$7,"Depto","Suchitepéquez","Año",2013)</f>
        <v>38987</v>
      </c>
      <c r="E52" s="5">
        <f ca="1">GETPIVOTDATA("Cantidad",Numerador!$A$7,"Depto","Suchitepéquez","Año",2014)</f>
        <v>37881</v>
      </c>
      <c r="F52" s="5">
        <f ca="1">GETPIVOTDATA("Cantidad",Numerador!$A$7,"Depto","Suchitepéquez","Año",2015)</f>
        <v>37574</v>
      </c>
      <c r="G52" s="5">
        <f ca="1">GETPIVOTDATA("Cantidad",Numerador!$A$7,"Depto","Suchitepéquez","Año",2016)</f>
        <v>37016</v>
      </c>
      <c r="H52" s="10" t="s">
        <v>81</v>
      </c>
      <c r="J52" s="4" t="s">
        <v>67</v>
      </c>
      <c r="K52" s="5">
        <f ca="1">GETPIVOTDATA("Cantidad",Numerador!$A$7,"Depto","Suchitepéquez","Año",2012)</f>
        <v>39563</v>
      </c>
      <c r="L52" s="6">
        <f ca="1">GETPIVOTDATA("Cantidad",Denominador!$A$7,"Depto","Suchitepéquez","Año",2012)</f>
        <v>42455</v>
      </c>
      <c r="M52" s="7">
        <v>2012</v>
      </c>
      <c r="N52" s="53"/>
      <c r="O52" s="51"/>
    </row>
    <row r="53" spans="2:15">
      <c r="B53" s="4" t="s">
        <v>68</v>
      </c>
      <c r="C53" s="5">
        <f ca="1">GETPIVOTDATA("Cantidad",Numerador!$A$7,"Depto","Totonicapán","Año",2012)</f>
        <v>33588</v>
      </c>
      <c r="D53" s="5">
        <f ca="1">GETPIVOTDATA("Cantidad",Numerador!$A$7,"Depto","Totonicapán","Año",2013)</f>
        <v>32843</v>
      </c>
      <c r="E53" s="5">
        <f ca="1">GETPIVOTDATA("Cantidad",Numerador!$A$7,"Depto","Totonicapán","Año",2014)</f>
        <v>32047</v>
      </c>
      <c r="F53" s="5">
        <f ca="1">GETPIVOTDATA("Cantidad",Numerador!$A$7,"Depto","Totonicapán","Año",2015)</f>
        <v>30995</v>
      </c>
      <c r="G53" s="5">
        <f ca="1">GETPIVOTDATA("Cantidad",Numerador!$A$7,"Depto","Totonicapán","Año",2016)</f>
        <v>29985</v>
      </c>
      <c r="H53" s="10" t="s">
        <v>81</v>
      </c>
      <c r="J53" s="4" t="s">
        <v>68</v>
      </c>
      <c r="K53" s="5">
        <f ca="1">GETPIVOTDATA("Cantidad",Numerador!$A$7,"Depto","Totonicapán","Año",2012)</f>
        <v>33588</v>
      </c>
      <c r="L53" s="6">
        <f ca="1">GETPIVOTDATA("Cantidad",Denominador!$A$7,"Depto","Totonicapán","Año",2012)</f>
        <v>42226</v>
      </c>
      <c r="M53" s="7">
        <v>2012</v>
      </c>
      <c r="N53" s="53"/>
      <c r="O53" s="51"/>
    </row>
    <row r="54" spans="2:15">
      <c r="B54" s="4" t="s">
        <v>69</v>
      </c>
      <c r="C54" s="5">
        <f ca="1">GETPIVOTDATA("Cantidad",Numerador!$A$7,"Depto","Zacapa","Año",2012)</f>
        <v>17157</v>
      </c>
      <c r="D54" s="5">
        <f ca="1">GETPIVOTDATA("Cantidad",Numerador!$A$7,"Depto","Zacapa","Año",2013)</f>
        <v>16638</v>
      </c>
      <c r="E54" s="5">
        <f ca="1">GETPIVOTDATA("Cantidad",Numerador!$A$7,"Depto","Zacapa","Año",2014)</f>
        <v>15986</v>
      </c>
      <c r="F54" s="5">
        <f ca="1">GETPIVOTDATA("Cantidad",Numerador!$A$7,"Depto","Zacapa","Año",2015)</f>
        <v>15680</v>
      </c>
      <c r="G54" s="5">
        <f ca="1">GETPIVOTDATA("Cantidad",Numerador!$A$7,"Depto","Zacapa","Año",2016)</f>
        <v>15531</v>
      </c>
      <c r="H54" s="10" t="s">
        <v>81</v>
      </c>
      <c r="J54" s="4" t="s">
        <v>69</v>
      </c>
      <c r="K54" s="5">
        <f ca="1">GETPIVOTDATA("Cantidad",Numerador!$A$7,"Depto","Zacapa","Año",2012)</f>
        <v>17157</v>
      </c>
      <c r="L54" s="6">
        <f ca="1">GETPIVOTDATA("Cantidad",Denominador!$A$7,"Depto","Zacapa","Año",2012)</f>
        <v>17316</v>
      </c>
      <c r="M54" s="7">
        <v>2012</v>
      </c>
      <c r="N54" s="53"/>
      <c r="O54" s="51"/>
    </row>
    <row r="55" spans="2:13">
      <c r="B55" s="4" t="s">
        <v>48</v>
      </c>
      <c r="C55" s="6">
        <f ca="1">GETPIVOTDATA("Cantidad",Denominador!$A$7,"Depto","Alta Verapaz","Año",2012)</f>
        <v>103498</v>
      </c>
      <c r="D55" s="6">
        <f ca="1">GETPIVOTDATA("Cantidad",Denominador!$A$7,"Depto","Alta Verapaz","Año",2013)</f>
        <v>106168</v>
      </c>
      <c r="E55" s="6">
        <f ca="1">GETPIVOTDATA("Cantidad",Denominador!$A$7,"Depto","Alta Verapaz","Año",2014)</f>
        <v>105141</v>
      </c>
      <c r="F55" s="6">
        <f ca="1">GETPIVOTDATA("Cantidad",Denominador!$A$7,"Depto","Alta Verapaz","Año",2015)</f>
        <v>106779</v>
      </c>
      <c r="G55" s="6">
        <f ca="1">GETPIVOTDATA("Cantidad",Denominador!$A$7,"Depto","Alta Verapaz","Año",2016)</f>
        <v>108470</v>
      </c>
      <c r="H55" s="10" t="s">
        <v>82</v>
      </c>
      <c r="J55" s="4" t="s">
        <v>48</v>
      </c>
      <c r="K55" s="5">
        <f ca="1">GETPIVOTDATA("Cantidad",Numerador!$A$7,"Depto","Alta Verapaz","Año",2013)</f>
        <v>84385</v>
      </c>
      <c r="L55" s="6">
        <f ca="1">GETPIVOTDATA("Cantidad",Denominador!$A$7,"Depto","Alta Verapaz","Año",2013)</f>
        <v>106168</v>
      </c>
      <c r="M55" s="7">
        <v>2013</v>
      </c>
    </row>
    <row r="56" spans="2:13">
      <c r="B56" s="4" t="s">
        <v>49</v>
      </c>
      <c r="C56" s="6">
        <f ca="1">GETPIVOTDATA("Cantidad",Denominador!$A$7,"Depto","Baja Verapaz","Año",2012)</f>
        <v>23549</v>
      </c>
      <c r="D56" s="6">
        <f ca="1">GETPIVOTDATA("Cantidad",Denominador!$A$7,"Depto","Baja Verapaz","Año",2013)</f>
        <v>23903</v>
      </c>
      <c r="E56" s="6">
        <f ca="1">GETPIVOTDATA("Cantidad",Denominador!$A$7,"Depto","Baja Verapaz","Año",2014)</f>
        <v>24312</v>
      </c>
      <c r="F56" s="6">
        <f ca="1">GETPIVOTDATA("Cantidad",Denominador!$A$7,"Depto","Baja Verapaz","Año",2015)</f>
        <v>24746</v>
      </c>
      <c r="G56" s="6">
        <f ca="1">GETPIVOTDATA("Cantidad",Denominador!$A$7,"Depto","Baja Verapaz","Año",2016)</f>
        <v>25174</v>
      </c>
      <c r="H56" s="10" t="s">
        <v>82</v>
      </c>
      <c r="J56" s="4" t="s">
        <v>49</v>
      </c>
      <c r="K56" s="5">
        <f ca="1">GETPIVOTDATA("Cantidad",Numerador!$A$7,"Depto","Baja Verapaz","Año",2013)</f>
        <v>20306</v>
      </c>
      <c r="L56" s="6">
        <f ca="1">GETPIVOTDATA("Cantidad",Denominador!$A$7,"Depto","Baja Verapaz","Año",2013)</f>
        <v>23903</v>
      </c>
      <c r="M56" s="7">
        <v>2013</v>
      </c>
    </row>
    <row r="57" spans="2:13">
      <c r="B57" s="4" t="s">
        <v>50</v>
      </c>
      <c r="C57" s="6">
        <f ca="1">GETPIVOTDATA("Cantidad",Denominador!$A$7,"Depto","Chimaltenango","Año",2012)</f>
        <v>53800</v>
      </c>
      <c r="D57" s="6">
        <f ca="1">GETPIVOTDATA("Cantidad",Denominador!$A$7,"Depto","Chimaltenango","Año",2013)</f>
        <v>55352</v>
      </c>
      <c r="E57" s="6">
        <f ca="1">GETPIVOTDATA("Cantidad",Denominador!$A$7,"Depto","Chimaltenango","Año",2014)</f>
        <v>57038</v>
      </c>
      <c r="F57" s="6">
        <f ca="1">GETPIVOTDATA("Cantidad",Denominador!$A$7,"Depto","Chimaltenango","Año",2015)</f>
        <v>58471</v>
      </c>
      <c r="G57" s="6">
        <f ca="1">GETPIVOTDATA("Cantidad",Denominador!$A$7,"Depto","Chimaltenango","Año",2016)</f>
        <v>59694</v>
      </c>
      <c r="H57" s="10" t="s">
        <v>82</v>
      </c>
      <c r="J57" s="4" t="s">
        <v>50</v>
      </c>
      <c r="K57" s="5">
        <f ca="1">GETPIVOTDATA("Cantidad",Numerador!$A$7,"Depto","Chimaltenango","Año",2013)</f>
        <v>43313</v>
      </c>
      <c r="L57" s="6">
        <f ca="1">GETPIVOTDATA("Cantidad",Denominador!$A$7,"Depto","Chimaltenango","Año",2013)</f>
        <v>55352</v>
      </c>
      <c r="M57" s="7">
        <v>2013</v>
      </c>
    </row>
    <row r="58" spans="2:13">
      <c r="B58" s="4" t="s">
        <v>51</v>
      </c>
      <c r="C58" s="6">
        <f ca="1">GETPIVOTDATA("Cantidad",Denominador!$A$7,"Depto","Chiquimula","Año",2012)</f>
        <v>32116</v>
      </c>
      <c r="D58" s="6">
        <f ca="1">GETPIVOTDATA("Cantidad",Denominador!$A$7,"Depto","Chiquimula","Año",2013)</f>
        <v>32717</v>
      </c>
      <c r="E58" s="6">
        <f ca="1">GETPIVOTDATA("Cantidad",Denominador!$A$7,"Depto","Chiquimula","Año",2014)</f>
        <v>32907</v>
      </c>
      <c r="F58" s="6">
        <f ca="1">GETPIVOTDATA("Cantidad",Denominador!$A$7,"Depto","Chiquimula","Año",2015)</f>
        <v>33352</v>
      </c>
      <c r="G58" s="6">
        <f ca="1">GETPIVOTDATA("Cantidad",Denominador!$A$7,"Depto","Chiquimula","Año",2016)</f>
        <v>33757</v>
      </c>
      <c r="H58" s="10" t="s">
        <v>82</v>
      </c>
      <c r="J58" s="4" t="s">
        <v>51</v>
      </c>
      <c r="K58" s="5">
        <f ca="1">GETPIVOTDATA("Cantidad",Numerador!$A$7,"Depto","Chiquimula","Año",2013)</f>
        <v>28632</v>
      </c>
      <c r="L58" s="6">
        <f ca="1">GETPIVOTDATA("Cantidad",Denominador!$A$7,"Depto","Chiquimula","Año",2013)</f>
        <v>32717</v>
      </c>
      <c r="M58" s="7">
        <v>2013</v>
      </c>
    </row>
    <row r="59" spans="2:13">
      <c r="B59" s="4" t="s">
        <v>52</v>
      </c>
      <c r="C59" s="6">
        <f ca="1">GETPIVOTDATA("Cantidad",Denominador!$A$7,"Depto","El Progreso","Año",2012)</f>
        <v>12122</v>
      </c>
      <c r="D59" s="6">
        <f ca="1">GETPIVOTDATA("Cantidad",Denominador!$A$7,"Depto","El Progreso","Año",2013)</f>
        <v>12193</v>
      </c>
      <c r="E59" s="6">
        <f ca="1">GETPIVOTDATA("Cantidad",Denominador!$A$7,"Depto","El Progreso","Año",2014)</f>
        <v>12235</v>
      </c>
      <c r="F59" s="6">
        <f ca="1">GETPIVOTDATA("Cantidad",Denominador!$A$7,"Depto","El Progreso","Año",2015)</f>
        <v>12341</v>
      </c>
      <c r="G59" s="6">
        <f ca="1">GETPIVOTDATA("Cantidad",Denominador!$A$7,"Depto","El Progreso","Año",2016)</f>
        <v>12428</v>
      </c>
      <c r="H59" s="10" t="s">
        <v>82</v>
      </c>
      <c r="J59" s="4" t="s">
        <v>52</v>
      </c>
      <c r="K59" s="5">
        <f ca="1">GETPIVOTDATA("Cantidad",Numerador!$A$7,"Depto","El Progreso","Año",2013)</f>
        <v>11515</v>
      </c>
      <c r="L59" s="6">
        <f ca="1">GETPIVOTDATA("Cantidad",Denominador!$A$7,"Depto","El Progreso","Año",2013)</f>
        <v>12193</v>
      </c>
      <c r="M59" s="7">
        <v>2013</v>
      </c>
    </row>
    <row r="60" spans="2:13">
      <c r="B60" s="4" t="s">
        <v>53</v>
      </c>
      <c r="C60" s="6">
        <f ca="1">GETPIVOTDATA("Cantidad",Denominador!$A$7,"Depto","Escuintla","Año",2012)</f>
        <v>51947</v>
      </c>
      <c r="D60" s="6">
        <f ca="1">GETPIVOTDATA("Cantidad",Denominador!$A$7,"Depto","Escuintla","Año",2013)</f>
        <v>52414</v>
      </c>
      <c r="E60" s="6">
        <f ca="1">GETPIVOTDATA("Cantidad",Denominador!$A$7,"Depto","Escuintla","Año",2014)</f>
        <v>52423</v>
      </c>
      <c r="F60" s="6">
        <f ca="1">GETPIVOTDATA("Cantidad",Denominador!$A$7,"Depto","Escuintla","Año",2015)</f>
        <v>52924</v>
      </c>
      <c r="G60" s="6">
        <f ca="1">GETPIVOTDATA("Cantidad",Denominador!$A$7,"Depto","Escuintla","Año",2016)</f>
        <v>53416</v>
      </c>
      <c r="H60" s="10" t="s">
        <v>82</v>
      </c>
      <c r="J60" s="4" t="s">
        <v>53</v>
      </c>
      <c r="K60" s="5">
        <f ca="1">GETPIVOTDATA("Cantidad",Numerador!$A$7,"Depto","Escuintla","Año",2013)</f>
        <v>47512</v>
      </c>
      <c r="L60" s="6">
        <f ca="1">GETPIVOTDATA("Cantidad",Denominador!$A$7,"Depto","Escuintla","Año",2013)</f>
        <v>52414</v>
      </c>
      <c r="M60" s="7">
        <v>2013</v>
      </c>
    </row>
    <row r="61" spans="2:13">
      <c r="B61" s="4" t="s">
        <v>54</v>
      </c>
      <c r="C61" s="6">
        <f ca="1">GETPIVOTDATA("Cantidad",Denominador!$A$7,"Depto","Guatemala","Año",2012)</f>
        <v>211210</v>
      </c>
      <c r="D61" s="6">
        <f ca="1">GETPIVOTDATA("Cantidad",Denominador!$A$7,"Depto","Guatemala","Año",2013)</f>
        <v>212590</v>
      </c>
      <c r="E61" s="6">
        <f ca="1">GETPIVOTDATA("Cantidad",Denominador!$A$7,"Depto","Guatemala","Año",2014)</f>
        <v>208436</v>
      </c>
      <c r="F61" s="6">
        <f ca="1">GETPIVOTDATA("Cantidad",Denominador!$A$7,"Depto","Guatemala","Año",2015)</f>
        <v>207719</v>
      </c>
      <c r="G61" s="6">
        <f ca="1">GETPIVOTDATA("Cantidad",Denominador!$A$7,"Depto","Guatemala","Año",2016)</f>
        <v>206874</v>
      </c>
      <c r="H61" s="10" t="s">
        <v>82</v>
      </c>
      <c r="J61" s="4" t="s">
        <v>54</v>
      </c>
      <c r="K61" s="5">
        <f ca="1">GETPIVOTDATA("Cantidad",Numerador!$A$7,"Depto","Guatemala","Año",2013)</f>
        <v>193253</v>
      </c>
      <c r="L61" s="6">
        <f ca="1">GETPIVOTDATA("Cantidad",Denominador!$A$7,"Depto","Guatemala","Año",2013)</f>
        <v>212590</v>
      </c>
      <c r="M61" s="7">
        <v>2013</v>
      </c>
    </row>
    <row r="62" spans="2:13">
      <c r="B62" s="4" t="s">
        <v>55</v>
      </c>
      <c r="C62" s="6">
        <f ca="1">GETPIVOTDATA("Cantidad",Denominador!$A$7,"Depto","Huehuetenango","Año",2012)</f>
        <v>100102</v>
      </c>
      <c r="D62" s="6">
        <f ca="1">GETPIVOTDATA("Cantidad",Denominador!$A$7,"Depto","Huehuetenango","Año",2013)</f>
        <v>102270</v>
      </c>
      <c r="E62" s="6">
        <f ca="1">GETPIVOTDATA("Cantidad",Denominador!$A$7,"Depto","Huehuetenango","Año",2014)</f>
        <v>105510</v>
      </c>
      <c r="F62" s="6">
        <f ca="1">GETPIVOTDATA("Cantidad",Denominador!$A$7,"Depto","Huehuetenango","Año",2015)</f>
        <v>108051</v>
      </c>
      <c r="G62" s="6">
        <f ca="1">GETPIVOTDATA("Cantidad",Denominador!$A$7,"Depto","Huehuetenango","Año",2016)</f>
        <v>109765</v>
      </c>
      <c r="H62" s="10" t="s">
        <v>82</v>
      </c>
      <c r="J62" s="4" t="s">
        <v>55</v>
      </c>
      <c r="K62" s="5">
        <f ca="1">GETPIVOTDATA("Cantidad",Numerador!$A$7,"Depto","Huehuetenango","Año",2013)</f>
        <v>90458</v>
      </c>
      <c r="L62" s="6">
        <f ca="1">GETPIVOTDATA("Cantidad",Denominador!$A$7,"Depto","Huehuetenango","Año",2013)</f>
        <v>102270</v>
      </c>
      <c r="M62" s="7">
        <v>2013</v>
      </c>
    </row>
    <row r="63" spans="2:13">
      <c r="B63" s="4" t="s">
        <v>56</v>
      </c>
      <c r="C63" s="6">
        <f ca="1">GETPIVOTDATA("Cantidad",Denominador!$A$7,"Depto","Izabal","Año",2012)</f>
        <v>34793</v>
      </c>
      <c r="D63" s="6">
        <f ca="1">GETPIVOTDATA("Cantidad",Denominador!$A$7,"Depto","Izabal","Año",2013)</f>
        <v>35355</v>
      </c>
      <c r="E63" s="6">
        <f ca="1">GETPIVOTDATA("Cantidad",Denominador!$A$7,"Depto","Izabal","Año",2014)</f>
        <v>35254</v>
      </c>
      <c r="F63" s="6">
        <f ca="1">GETPIVOTDATA("Cantidad",Denominador!$A$7,"Depto","Izabal","Año",2015)</f>
        <v>35666</v>
      </c>
      <c r="G63" s="6">
        <f ca="1">GETPIVOTDATA("Cantidad",Denominador!$A$7,"Depto","Izabal","Año",2016)</f>
        <v>36104</v>
      </c>
      <c r="H63" s="10" t="s">
        <v>82</v>
      </c>
      <c r="J63" s="4" t="s">
        <v>56</v>
      </c>
      <c r="K63" s="5">
        <f ca="1">GETPIVOTDATA("Cantidad",Numerador!$A$7,"Depto","Izabal","Año",2013)</f>
        <v>29570</v>
      </c>
      <c r="L63" s="6">
        <f ca="1">GETPIVOTDATA("Cantidad",Denominador!$A$7,"Depto","Izabal","Año",2013)</f>
        <v>35355</v>
      </c>
      <c r="M63" s="7">
        <v>2013</v>
      </c>
    </row>
    <row r="64" spans="2:13">
      <c r="B64" s="4" t="s">
        <v>57</v>
      </c>
      <c r="C64" s="6">
        <f ca="1">GETPIVOTDATA("Cantidad",Denominador!$A$7,"Depto","Jalapa","Año",2012)</f>
        <v>28701</v>
      </c>
      <c r="D64" s="6">
        <f ca="1">GETPIVOTDATA("Cantidad",Denominador!$A$7,"Depto","Jalapa","Año",2013)</f>
        <v>29469</v>
      </c>
      <c r="E64" s="6">
        <f ca="1">GETPIVOTDATA("Cantidad",Denominador!$A$7,"Depto","Jalapa","Año",2014)</f>
        <v>30404</v>
      </c>
      <c r="F64" s="6">
        <f ca="1">GETPIVOTDATA("Cantidad",Denominador!$A$7,"Depto","Jalapa","Año",2015)</f>
        <v>31137</v>
      </c>
      <c r="G64" s="6">
        <f ca="1">GETPIVOTDATA("Cantidad",Denominador!$A$7,"Depto","Jalapa","Año",2016)</f>
        <v>31787</v>
      </c>
      <c r="H64" s="10" t="s">
        <v>82</v>
      </c>
      <c r="J64" s="4" t="s">
        <v>57</v>
      </c>
      <c r="K64" s="5">
        <f ca="1">GETPIVOTDATA("Cantidad",Numerador!$A$7,"Depto","Jalapa","Año",2013)</f>
        <v>24803</v>
      </c>
      <c r="L64" s="6">
        <f ca="1">GETPIVOTDATA("Cantidad",Denominador!$A$7,"Depto","Jalapa","Año",2013)</f>
        <v>29469</v>
      </c>
      <c r="M64" s="7">
        <v>2013</v>
      </c>
    </row>
    <row r="65" spans="2:13">
      <c r="B65" s="4" t="s">
        <v>58</v>
      </c>
      <c r="C65" s="6">
        <f ca="1">GETPIVOTDATA("Cantidad",Denominador!$A$7,"Depto","Jutiapa","Año",2012)</f>
        <v>36137</v>
      </c>
      <c r="D65" s="6">
        <f ca="1">GETPIVOTDATA("Cantidad",Denominador!$A$7,"Depto","Jutiapa","Año",2013)</f>
        <v>36446</v>
      </c>
      <c r="E65" s="6">
        <f ca="1">GETPIVOTDATA("Cantidad",Denominador!$A$7,"Depto","Jutiapa","Año",2014)</f>
        <v>38244</v>
      </c>
      <c r="F65" s="6">
        <f ca="1">GETPIVOTDATA("Cantidad",Denominador!$A$7,"Depto","Jutiapa","Año",2015)</f>
        <v>38959</v>
      </c>
      <c r="G65" s="6">
        <f ca="1">GETPIVOTDATA("Cantidad",Denominador!$A$7,"Depto","Jutiapa","Año",2016)</f>
        <v>39547</v>
      </c>
      <c r="H65" s="10" t="s">
        <v>82</v>
      </c>
      <c r="J65" s="4" t="s">
        <v>58</v>
      </c>
      <c r="K65" s="5">
        <f ca="1">GETPIVOTDATA("Cantidad",Numerador!$A$7,"Depto","Jutiapa","Año",2013)</f>
        <v>33729</v>
      </c>
      <c r="L65" s="6">
        <f ca="1">GETPIVOTDATA("Cantidad",Denominador!$A$7,"Depto","Jutiapa","Año",2013)</f>
        <v>36446</v>
      </c>
      <c r="M65" s="7">
        <v>2013</v>
      </c>
    </row>
    <row r="66" spans="2:13">
      <c r="B66" s="4" t="s">
        <v>59</v>
      </c>
      <c r="C66" s="6">
        <f ca="1">GETPIVOTDATA("Cantidad",Denominador!$A$7,"Depto","Petén","Año",2012)</f>
        <v>57182</v>
      </c>
      <c r="D66" s="6">
        <f ca="1">GETPIVOTDATA("Cantidad",Denominador!$A$7,"Depto","Petén","Año",2013)</f>
        <v>59521</v>
      </c>
      <c r="E66" s="6">
        <f ca="1">GETPIVOTDATA("Cantidad",Denominador!$A$7,"Depto","Petén","Año",2014)</f>
        <v>62127</v>
      </c>
      <c r="F66" s="6">
        <f ca="1">GETPIVOTDATA("Cantidad",Denominador!$A$7,"Depto","Petén","Año",2015)</f>
        <v>64483</v>
      </c>
      <c r="G66" s="6">
        <f ca="1">GETPIVOTDATA("Cantidad",Denominador!$A$7,"Depto","Petén","Año",2016)</f>
        <v>66507</v>
      </c>
      <c r="H66" s="10" t="s">
        <v>82</v>
      </c>
      <c r="J66" s="4" t="s">
        <v>59</v>
      </c>
      <c r="K66" s="5">
        <f ca="1">GETPIVOTDATA("Cantidad",Numerador!$A$7,"Depto","Petén","Año",2013)</f>
        <v>40019</v>
      </c>
      <c r="L66" s="6">
        <f ca="1">GETPIVOTDATA("Cantidad",Denominador!$A$7,"Depto","Petén","Año",2013)</f>
        <v>59521</v>
      </c>
      <c r="M66" s="7">
        <v>2013</v>
      </c>
    </row>
    <row r="67" spans="2:13">
      <c r="B67" s="4" t="s">
        <v>60</v>
      </c>
      <c r="C67" s="6">
        <f ca="1">GETPIVOTDATA("Cantidad",Denominador!$A$7,"Depto","Quetzaltenango","Año",2012)</f>
        <v>62290</v>
      </c>
      <c r="D67" s="6">
        <f ca="1">GETPIVOTDATA("Cantidad",Denominador!$A$7,"Depto","Quetzaltenango","Año",2013)</f>
        <v>63359</v>
      </c>
      <c r="E67" s="6">
        <f ca="1">GETPIVOTDATA("Cantidad",Denominador!$A$7,"Depto","Quetzaltenango","Año",2014)</f>
        <v>65847</v>
      </c>
      <c r="F67" s="6">
        <f ca="1">GETPIVOTDATA("Cantidad",Denominador!$A$7,"Depto","Quetzaltenango","Año",2015)</f>
        <v>67269</v>
      </c>
      <c r="G67" s="6">
        <f ca="1">GETPIVOTDATA("Cantidad",Denominador!$A$7,"Depto","Quetzaltenango","Año",2016)</f>
        <v>68482</v>
      </c>
      <c r="H67" s="10" t="s">
        <v>82</v>
      </c>
      <c r="J67" s="4" t="s">
        <v>60</v>
      </c>
      <c r="K67" s="5">
        <f ca="1">GETPIVOTDATA("Cantidad",Numerador!$A$7,"Depto","Quetzaltenango","Año",2013)</f>
        <v>58079</v>
      </c>
      <c r="L67" s="6">
        <f ca="1">GETPIVOTDATA("Cantidad",Denominador!$A$7,"Depto","Quetzaltenango","Año",2013)</f>
        <v>63359</v>
      </c>
      <c r="M67" s="7">
        <v>2013</v>
      </c>
    </row>
    <row r="68" spans="2:13">
      <c r="B68" s="4" t="s">
        <v>61</v>
      </c>
      <c r="C68" s="6">
        <f ca="1">GETPIVOTDATA("Cantidad",Denominador!$A$7,"Depto","Quiché","Año",2012)</f>
        <v>90430</v>
      </c>
      <c r="D68" s="6">
        <f ca="1">GETPIVOTDATA("Cantidad",Denominador!$A$7,"Depto","Quiché","Año",2013)</f>
        <v>93496</v>
      </c>
      <c r="E68" s="6">
        <f ca="1">GETPIVOTDATA("Cantidad",Denominador!$A$7,"Depto","Quiché","Año",2014)</f>
        <v>97380</v>
      </c>
      <c r="F68" s="6">
        <f ca="1">GETPIVOTDATA("Cantidad",Denominador!$A$7,"Depto","Quiché","Año",2015)</f>
        <v>100438</v>
      </c>
      <c r="G68" s="6">
        <f ca="1">GETPIVOTDATA("Cantidad",Denominador!$A$7,"Depto","Quiché","Año",2016)</f>
        <v>103222</v>
      </c>
      <c r="H68" s="10" t="s">
        <v>82</v>
      </c>
      <c r="J68" s="4" t="s">
        <v>61</v>
      </c>
      <c r="K68" s="5">
        <f ca="1">GETPIVOTDATA("Cantidad",Numerador!$A$7,"Depto","Quiché","Año",2013)</f>
        <v>75049</v>
      </c>
      <c r="L68" s="6">
        <f ca="1">GETPIVOTDATA("Cantidad",Denominador!$A$7,"Depto","Quiché","Año",2013)</f>
        <v>93496</v>
      </c>
      <c r="M68" s="7">
        <v>2013</v>
      </c>
    </row>
    <row r="69" spans="2:13">
      <c r="B69" s="4" t="s">
        <v>62</v>
      </c>
      <c r="C69" s="6">
        <f ca="1">GETPIVOTDATA("Cantidad",Denominador!$A$7,"Depto","Retalhuleu","Año",2012)</f>
        <v>23814</v>
      </c>
      <c r="D69" s="6">
        <f ca="1">GETPIVOTDATA("Cantidad",Denominador!$A$7,"Depto","Retalhuleu","Año",2013)</f>
        <v>24051</v>
      </c>
      <c r="E69" s="6">
        <f ca="1">GETPIVOTDATA("Cantidad",Denominador!$A$7,"Depto","Retalhuleu","Año",2014)</f>
        <v>24595</v>
      </c>
      <c r="F69" s="6">
        <f ca="1">GETPIVOTDATA("Cantidad",Denominador!$A$7,"Depto","Retalhuleu","Año",2015)</f>
        <v>25019</v>
      </c>
      <c r="G69" s="6">
        <f ca="1">GETPIVOTDATA("Cantidad",Denominador!$A$7,"Depto","Retalhuleu","Año",2016)</f>
        <v>25425</v>
      </c>
      <c r="H69" s="10" t="s">
        <v>82</v>
      </c>
      <c r="J69" s="4" t="s">
        <v>62</v>
      </c>
      <c r="K69" s="5">
        <f ca="1">GETPIVOTDATA("Cantidad",Numerador!$A$7,"Depto","Retalhuleu","Año",2013)</f>
        <v>22810</v>
      </c>
      <c r="L69" s="6">
        <f ca="1">GETPIVOTDATA("Cantidad",Denominador!$A$7,"Depto","Retalhuleu","Año",2013)</f>
        <v>24051</v>
      </c>
      <c r="M69" s="7">
        <v>2013</v>
      </c>
    </row>
    <row r="70" spans="2:13">
      <c r="B70" s="4" t="s">
        <v>63</v>
      </c>
      <c r="C70" s="6">
        <f ca="1">GETPIVOTDATA("Cantidad",Denominador!$A$7,"Depto","Sacatepéquez","Año",2012)</f>
        <v>24070</v>
      </c>
      <c r="D70" s="6">
        <f ca="1">GETPIVOTDATA("Cantidad",Denominador!$A$7,"Depto","Sacatepéquez","Año",2013)</f>
        <v>24422</v>
      </c>
      <c r="E70" s="6">
        <f ca="1">GETPIVOTDATA("Cantidad",Denominador!$A$7,"Depto","Sacatepéquez","Año",2014)</f>
        <v>25859</v>
      </c>
      <c r="F70" s="6">
        <f ca="1">GETPIVOTDATA("Cantidad",Denominador!$A$7,"Depto","Sacatepéquez","Año",2015)</f>
        <v>24640</v>
      </c>
      <c r="G70" s="6">
        <f ca="1">GETPIVOTDATA("Cantidad",Denominador!$A$7,"Depto","Sacatepéquez","Año",2016)</f>
        <v>24817</v>
      </c>
      <c r="H70" s="10" t="s">
        <v>82</v>
      </c>
      <c r="J70" s="4" t="s">
        <v>63</v>
      </c>
      <c r="K70" s="5">
        <f ca="1">GETPIVOTDATA("Cantidad",Numerador!$A$7,"Depto","Sacatepéquez","Año",2013)</f>
        <v>21072</v>
      </c>
      <c r="L70" s="6">
        <f ca="1">GETPIVOTDATA("Cantidad",Denominador!$A$7,"Depto","Sacatepéquez","Año",2013)</f>
        <v>24422</v>
      </c>
      <c r="M70" s="7">
        <v>2013</v>
      </c>
    </row>
    <row r="71" spans="2:13">
      <c r="B71" s="4" t="s">
        <v>64</v>
      </c>
      <c r="C71" s="6">
        <f ca="1">GETPIVOTDATA("Cantidad",Denominador!$A$7,"Depto","San Marcos","Año",2012)</f>
        <v>85080</v>
      </c>
      <c r="D71" s="6">
        <f ca="1">GETPIVOTDATA("Cantidad",Denominador!$A$7,"Depto","San Marcos","Año",2013)</f>
        <v>86079</v>
      </c>
      <c r="E71" s="6">
        <f ca="1">GETPIVOTDATA("Cantidad",Denominador!$A$7,"Depto","San Marcos","Año",2014)</f>
        <v>87305</v>
      </c>
      <c r="F71" s="6">
        <f ca="1">GETPIVOTDATA("Cantidad",Denominador!$A$7,"Depto","San Marcos","Año",2015)</f>
        <v>88539</v>
      </c>
      <c r="G71" s="6">
        <f ca="1">GETPIVOTDATA("Cantidad",Denominador!$A$7,"Depto","San Marcos","Año",2016)</f>
        <v>89687</v>
      </c>
      <c r="H71" s="10" t="s">
        <v>82</v>
      </c>
      <c r="J71" s="4" t="s">
        <v>64</v>
      </c>
      <c r="K71" s="5">
        <f ca="1">GETPIVOTDATA("Cantidad",Numerador!$A$7,"Depto","San Marcos","Año",2013)</f>
        <v>81035</v>
      </c>
      <c r="L71" s="6">
        <f ca="1">GETPIVOTDATA("Cantidad",Denominador!$A$7,"Depto","San Marcos","Año",2013)</f>
        <v>86079</v>
      </c>
      <c r="M71" s="7">
        <v>2013</v>
      </c>
    </row>
    <row r="72" spans="2:13">
      <c r="B72" s="4" t="s">
        <v>65</v>
      </c>
      <c r="C72" s="6">
        <f ca="1">GETPIVOTDATA("Cantidad",Denominador!$A$7,"Depto","Santa Rosa","Año",2012)</f>
        <v>27752</v>
      </c>
      <c r="D72" s="6">
        <f ca="1">GETPIVOTDATA("Cantidad",Denominador!$A$7,"Depto","Santa Rosa","Año",2013)</f>
        <v>27957</v>
      </c>
      <c r="E72" s="6">
        <f ca="1">GETPIVOTDATA("Cantidad",Denominador!$A$7,"Depto","Santa Rosa","Año",2014)</f>
        <v>28276</v>
      </c>
      <c r="F72" s="6">
        <f ca="1">GETPIVOTDATA("Cantidad",Denominador!$A$7,"Depto","Santa Rosa","Año",2015)</f>
        <v>28617</v>
      </c>
      <c r="G72" s="6">
        <f ca="1">GETPIVOTDATA("Cantidad",Denominador!$A$7,"Depto","Santa Rosa","Año",2016)</f>
        <v>28940</v>
      </c>
      <c r="H72" s="10" t="s">
        <v>82</v>
      </c>
      <c r="J72" s="4" t="s">
        <v>65</v>
      </c>
      <c r="K72" s="5">
        <f ca="1">GETPIVOTDATA("Cantidad",Numerador!$A$7,"Depto","Santa Rosa","Año",2013)</f>
        <v>26313</v>
      </c>
      <c r="L72" s="6">
        <f ca="1">GETPIVOTDATA("Cantidad",Denominador!$A$7,"Depto","Santa Rosa","Año",2013)</f>
        <v>27957</v>
      </c>
      <c r="M72" s="7">
        <v>2013</v>
      </c>
    </row>
    <row r="73" spans="2:13">
      <c r="B73" s="4" t="s">
        <v>66</v>
      </c>
      <c r="C73" s="6">
        <f ca="1">GETPIVOTDATA("Cantidad",Denominador!$A$7,"Depto","Sololá","Año",2012)</f>
        <v>38419</v>
      </c>
      <c r="D73" s="6">
        <f ca="1">GETPIVOTDATA("Cantidad",Denominador!$A$7,"Depto","Sololá","Año",2013)</f>
        <v>39888</v>
      </c>
      <c r="E73" s="6">
        <f ca="1">GETPIVOTDATA("Cantidad",Denominador!$A$7,"Depto","Sololá","Año",2014)</f>
        <v>42206</v>
      </c>
      <c r="F73" s="6">
        <f ca="1">GETPIVOTDATA("Cantidad",Denominador!$A$7,"Depto","Sololá","Año",2015)</f>
        <v>43633</v>
      </c>
      <c r="G73" s="6">
        <f ca="1">GETPIVOTDATA("Cantidad",Denominador!$A$7,"Depto","Sololá","Año",2016)</f>
        <v>44780</v>
      </c>
      <c r="H73" s="10" t="s">
        <v>82</v>
      </c>
      <c r="J73" s="4" t="s">
        <v>66</v>
      </c>
      <c r="K73" s="5">
        <f ca="1">GETPIVOTDATA("Cantidad",Numerador!$A$7,"Depto","Sololá","Año",2013)</f>
        <v>30150</v>
      </c>
      <c r="L73" s="6">
        <f ca="1">GETPIVOTDATA("Cantidad",Denominador!$A$7,"Depto","Sololá","Año",2013)</f>
        <v>39888</v>
      </c>
      <c r="M73" s="7">
        <v>2013</v>
      </c>
    </row>
    <row r="74" spans="2:13">
      <c r="B74" s="4" t="s">
        <v>67</v>
      </c>
      <c r="C74" s="6">
        <f ca="1">GETPIVOTDATA("Cantidad",Denominador!$A$7,"Depto","Suchitepéquez","Año",2012)</f>
        <v>42455</v>
      </c>
      <c r="D74" s="6">
        <f ca="1">GETPIVOTDATA("Cantidad",Denominador!$A$7,"Depto","Suchitepéquez","Año",2013)</f>
        <v>43072</v>
      </c>
      <c r="E74" s="6">
        <f ca="1">GETPIVOTDATA("Cantidad",Denominador!$A$7,"Depto","Suchitepéquez","Año",2014)</f>
        <v>43741</v>
      </c>
      <c r="F74" s="6">
        <f ca="1">GETPIVOTDATA("Cantidad",Denominador!$A$7,"Depto","Suchitepéquez","Año",2015)</f>
        <v>44489</v>
      </c>
      <c r="G74" s="6">
        <f ca="1">GETPIVOTDATA("Cantidad",Denominador!$A$7,"Depto","Suchitepéquez","Año",2016)</f>
        <v>45209</v>
      </c>
      <c r="H74" s="10" t="s">
        <v>82</v>
      </c>
      <c r="J74" s="4" t="s">
        <v>67</v>
      </c>
      <c r="K74" s="5">
        <f ca="1">GETPIVOTDATA("Cantidad",Numerador!$A$7,"Depto","Suchitepéquez","Año",2013)</f>
        <v>38987</v>
      </c>
      <c r="L74" s="6">
        <f ca="1">GETPIVOTDATA("Cantidad",Denominador!$A$7,"Depto","Suchitepéquez","Año",2013)</f>
        <v>43072</v>
      </c>
      <c r="M74" s="7">
        <v>2013</v>
      </c>
    </row>
    <row r="75" spans="2:13">
      <c r="B75" s="4" t="s">
        <v>68</v>
      </c>
      <c r="C75" s="6">
        <f ca="1">GETPIVOTDATA("Cantidad",Denominador!$A$7,"Depto","Totonicapán","Año",2012)</f>
        <v>42226</v>
      </c>
      <c r="D75" s="6">
        <f ca="1">GETPIVOTDATA("Cantidad",Denominador!$A$7,"Depto","Totonicapán","Año",2013)</f>
        <v>43960</v>
      </c>
      <c r="E75" s="6">
        <f ca="1">GETPIVOTDATA("Cantidad",Denominador!$A$7,"Depto","Totonicapán","Año",2014)</f>
        <v>47394</v>
      </c>
      <c r="F75" s="6">
        <f ca="1">GETPIVOTDATA("Cantidad",Denominador!$A$7,"Depto","Totonicapán","Año",2015)</f>
        <v>49227</v>
      </c>
      <c r="G75" s="6">
        <f ca="1">GETPIVOTDATA("Cantidad",Denominador!$A$7,"Depto","Totonicapán","Año",2016)</f>
        <v>50750</v>
      </c>
      <c r="H75" s="10" t="s">
        <v>82</v>
      </c>
      <c r="J75" s="4" t="s">
        <v>68</v>
      </c>
      <c r="K75" s="5">
        <f ca="1">GETPIVOTDATA("Cantidad",Numerador!$A$7,"Depto","Totonicapán","Año",2013)</f>
        <v>32843</v>
      </c>
      <c r="L75" s="6">
        <f ca="1">GETPIVOTDATA("Cantidad",Denominador!$A$7,"Depto","Totonicapán","Año",2013)</f>
        <v>43960</v>
      </c>
      <c r="M75" s="7">
        <v>2013</v>
      </c>
    </row>
    <row r="76" spans="2:13">
      <c r="B76" s="4" t="s">
        <v>69</v>
      </c>
      <c r="C76" s="6">
        <f ca="1">GETPIVOTDATA("Cantidad",Denominador!$A$7,"Depto","Zacapa","Año",2012)</f>
        <v>17316</v>
      </c>
      <c r="D76" s="6">
        <f ca="1">GETPIVOTDATA("Cantidad",Denominador!$A$7,"Depto","Zacapa","Año",2013)</f>
        <v>17339</v>
      </c>
      <c r="E76" s="6">
        <f ca="1">GETPIVOTDATA("Cantidad",Denominador!$A$7,"Depto","Zacapa","Año",2014)</f>
        <v>16899</v>
      </c>
      <c r="F76" s="6">
        <f ca="1">GETPIVOTDATA("Cantidad",Denominador!$A$7,"Depto","Zacapa","Año",2015)</f>
        <v>16872</v>
      </c>
      <c r="G76" s="6">
        <f ca="1">GETPIVOTDATA("Cantidad",Denominador!$A$7,"Depto","Zacapa","Año",2016)</f>
        <v>16874</v>
      </c>
      <c r="H76" s="10" t="s">
        <v>82</v>
      </c>
      <c r="J76" s="4" t="s">
        <v>69</v>
      </c>
      <c r="K76" s="5">
        <f ca="1">GETPIVOTDATA("Cantidad",Numerador!$A$7,"Depto","Zacapa","Año",2013)</f>
        <v>16638</v>
      </c>
      <c r="L76" s="6">
        <f ca="1">GETPIVOTDATA("Cantidad",Denominador!$A$7,"Depto","Zacapa","Año",2013)</f>
        <v>17339</v>
      </c>
      <c r="M76" s="7">
        <v>2013</v>
      </c>
    </row>
    <row r="77" spans="2:13">
      <c r="B77" s="4" t="s">
        <v>48</v>
      </c>
      <c r="C77" s="12">
        <v>413761644.87</v>
      </c>
      <c r="D77" s="12">
        <v>458920917.07</v>
      </c>
      <c r="E77" s="12">
        <v>511495541.04</v>
      </c>
      <c r="F77" s="12">
        <v>572075506.93</v>
      </c>
      <c r="G77" s="12">
        <v>592123344.84</v>
      </c>
      <c r="H77" s="10" t="s">
        <v>84</v>
      </c>
      <c r="J77" s="4" t="s">
        <v>48</v>
      </c>
      <c r="K77" s="5">
        <f ca="1">GETPIVOTDATA("Cantidad",Numerador!$A$7,"Depto","Alta Verapaz","Año",2014)</f>
        <v>83437</v>
      </c>
      <c r="L77" s="6">
        <f ca="1">GETPIVOTDATA("Cantidad",Denominador!$A$7,"Depto","Alta Verapaz","Año",2014)</f>
        <v>105141</v>
      </c>
      <c r="M77" s="7">
        <v>2014</v>
      </c>
    </row>
    <row r="78" spans="2:13">
      <c r="B78" s="4" t="s">
        <v>49</v>
      </c>
      <c r="C78" s="12">
        <v>132285407.8</v>
      </c>
      <c r="D78" s="12">
        <v>146756694.97</v>
      </c>
      <c r="E78" s="12">
        <v>162878175.55</v>
      </c>
      <c r="F78" s="12">
        <v>181508017</v>
      </c>
      <c r="G78" s="12">
        <v>180623727.01</v>
      </c>
      <c r="H78" s="10" t="s">
        <v>84</v>
      </c>
      <c r="J78" s="4" t="s">
        <v>49</v>
      </c>
      <c r="K78" s="5">
        <f ca="1">GETPIVOTDATA("Cantidad",Numerador!$A$7,"Depto","Baja Verapaz","Año",2014)</f>
        <v>19941</v>
      </c>
      <c r="L78" s="6">
        <f ca="1">GETPIVOTDATA("Cantidad",Denominador!$A$7,"Depto","Baja Verapaz","Año",2014)</f>
        <v>24312</v>
      </c>
      <c r="M78" s="7">
        <v>2014</v>
      </c>
    </row>
    <row r="79" spans="2:13">
      <c r="B79" s="4" t="s">
        <v>50</v>
      </c>
      <c r="C79" s="12">
        <v>200477927.15</v>
      </c>
      <c r="D79" s="12">
        <v>215733749.79</v>
      </c>
      <c r="E79" s="12">
        <v>242876605.1</v>
      </c>
      <c r="F79" s="12">
        <v>275038676.92</v>
      </c>
      <c r="G79" s="12">
        <v>280447993.79</v>
      </c>
      <c r="H79" s="10" t="s">
        <v>84</v>
      </c>
      <c r="J79" s="4" t="s">
        <v>50</v>
      </c>
      <c r="K79" s="5">
        <f ca="1">GETPIVOTDATA("Cantidad",Numerador!$A$7,"Depto","Chimaltenango","Año",2014)</f>
        <v>42588</v>
      </c>
      <c r="L79" s="6">
        <f ca="1">GETPIVOTDATA("Cantidad",Denominador!$A$7,"Depto","Chimaltenango","Año",2014)</f>
        <v>57038</v>
      </c>
      <c r="M79" s="7">
        <v>2014</v>
      </c>
    </row>
    <row r="80" spans="2:13">
      <c r="B80" s="4" t="s">
        <v>51</v>
      </c>
      <c r="C80" s="12">
        <v>178115328.71</v>
      </c>
      <c r="D80" s="12">
        <v>183027742.29</v>
      </c>
      <c r="E80" s="12">
        <v>201983821.39</v>
      </c>
      <c r="F80" s="12">
        <v>225954413.65</v>
      </c>
      <c r="G80" s="12">
        <v>227389496.04</v>
      </c>
      <c r="H80" s="10" t="s">
        <v>84</v>
      </c>
      <c r="J80" s="4" t="s">
        <v>51</v>
      </c>
      <c r="K80" s="5">
        <f ca="1">GETPIVOTDATA("Cantidad",Numerador!$A$7,"Depto","Chiquimula","Año",2014)</f>
        <v>28318</v>
      </c>
      <c r="L80" s="6">
        <f ca="1">GETPIVOTDATA("Cantidad",Denominador!$A$7,"Depto","Chiquimula","Año",2014)</f>
        <v>32907</v>
      </c>
      <c r="M80" s="7">
        <v>2014</v>
      </c>
    </row>
    <row r="81" spans="2:13">
      <c r="B81" s="4" t="s">
        <v>52</v>
      </c>
      <c r="C81" s="12">
        <v>67302905.19</v>
      </c>
      <c r="D81" s="12">
        <v>70497073.74</v>
      </c>
      <c r="E81" s="12">
        <v>76550382.48</v>
      </c>
      <c r="F81" s="12">
        <v>84891503.62</v>
      </c>
      <c r="G81" s="12">
        <v>85441774.76</v>
      </c>
      <c r="H81" s="10" t="s">
        <v>84</v>
      </c>
      <c r="J81" s="4" t="s">
        <v>52</v>
      </c>
      <c r="K81" s="5">
        <f ca="1">GETPIVOTDATA("Cantidad",Numerador!$A$7,"Depto","El Progreso","Año",2014)</f>
        <v>11178</v>
      </c>
      <c r="L81" s="6">
        <f ca="1">GETPIVOTDATA("Cantidad",Denominador!$A$7,"Depto","El Progreso","Año",2014)</f>
        <v>12235</v>
      </c>
      <c r="M81" s="7">
        <v>2014</v>
      </c>
    </row>
    <row r="82" spans="2:13">
      <c r="B82" s="4" t="s">
        <v>53</v>
      </c>
      <c r="C82" s="12">
        <v>238130503.35</v>
      </c>
      <c r="D82" s="12">
        <v>249655590.5</v>
      </c>
      <c r="E82" s="12">
        <v>274397351.8</v>
      </c>
      <c r="F82" s="12">
        <v>305262911.93</v>
      </c>
      <c r="G82" s="12">
        <v>307973670.51</v>
      </c>
      <c r="H82" s="10" t="s">
        <v>84</v>
      </c>
      <c r="J82" s="4" t="s">
        <v>53</v>
      </c>
      <c r="K82" s="5">
        <f ca="1">GETPIVOTDATA("Cantidad",Numerador!$A$7,"Depto","Escuintla","Año",2014)</f>
        <v>46483</v>
      </c>
      <c r="L82" s="6">
        <f ca="1">GETPIVOTDATA("Cantidad",Denominador!$A$7,"Depto","Escuintla","Año",2014)</f>
        <v>52423</v>
      </c>
      <c r="M82" s="7">
        <v>2014</v>
      </c>
    </row>
    <row r="83" spans="2:13">
      <c r="B83" s="4" t="s">
        <v>54</v>
      </c>
      <c r="C83" s="12">
        <v>666960547.31</v>
      </c>
      <c r="D83" s="12">
        <v>717515007.49</v>
      </c>
      <c r="E83" s="12">
        <v>800724866.53</v>
      </c>
      <c r="F83" s="12">
        <v>867415490.19</v>
      </c>
      <c r="G83" s="12">
        <v>874157361.64</v>
      </c>
      <c r="H83" s="10" t="s">
        <v>84</v>
      </c>
      <c r="J83" s="4" t="s">
        <v>54</v>
      </c>
      <c r="K83" s="5">
        <f ca="1">GETPIVOTDATA("Cantidad",Numerador!$A$7,"Depto","Guatemala","Año",2014)</f>
        <v>191688</v>
      </c>
      <c r="L83" s="6">
        <f ca="1">GETPIVOTDATA("Cantidad",Denominador!$A$7,"Depto","Guatemala","Año",2014)</f>
        <v>208436</v>
      </c>
      <c r="M83" s="7">
        <v>2014</v>
      </c>
    </row>
    <row r="84" spans="2:13">
      <c r="B84" s="4" t="s">
        <v>55</v>
      </c>
      <c r="C84" s="12">
        <v>449923399.07</v>
      </c>
      <c r="D84" s="12">
        <v>482903766.19</v>
      </c>
      <c r="E84" s="12">
        <v>537849280.34</v>
      </c>
      <c r="F84" s="12">
        <v>596166794.13</v>
      </c>
      <c r="G84" s="12">
        <v>604282182.07</v>
      </c>
      <c r="H84" s="10" t="s">
        <v>84</v>
      </c>
      <c r="J84" s="4" t="s">
        <v>55</v>
      </c>
      <c r="K84" s="5">
        <f ca="1">GETPIVOTDATA("Cantidad",Numerador!$A$7,"Depto","Huehuetenango","Año",2014)</f>
        <v>88786</v>
      </c>
      <c r="L84" s="6">
        <f ca="1">GETPIVOTDATA("Cantidad",Denominador!$A$7,"Depto","Huehuetenango","Año",2014)</f>
        <v>105510</v>
      </c>
      <c r="M84" s="7">
        <v>2014</v>
      </c>
    </row>
    <row r="85" spans="2:13">
      <c r="B85" s="4" t="s">
        <v>56</v>
      </c>
      <c r="C85" s="12">
        <v>172003828.46</v>
      </c>
      <c r="D85" s="12">
        <v>180551531.91</v>
      </c>
      <c r="E85" s="12">
        <v>200321962.93</v>
      </c>
      <c r="F85" s="12">
        <v>224600690.61</v>
      </c>
      <c r="G85" s="12">
        <v>228723722.47</v>
      </c>
      <c r="H85" s="10" t="s">
        <v>84</v>
      </c>
      <c r="J85" s="4" t="s">
        <v>56</v>
      </c>
      <c r="K85" s="5">
        <f ca="1">GETPIVOTDATA("Cantidad",Numerador!$A$7,"Depto","Izabal","Año",2014)</f>
        <v>27991</v>
      </c>
      <c r="L85" s="6">
        <f ca="1">GETPIVOTDATA("Cantidad",Denominador!$A$7,"Depto","Izabal","Año",2014)</f>
        <v>35254</v>
      </c>
      <c r="M85" s="7">
        <v>2014</v>
      </c>
    </row>
    <row r="86" spans="2:13">
      <c r="B86" s="4" t="s">
        <v>57</v>
      </c>
      <c r="C86" s="12">
        <v>130709973.95</v>
      </c>
      <c r="D86" s="12">
        <v>143821315.23</v>
      </c>
      <c r="E86" s="12">
        <v>156936498.44</v>
      </c>
      <c r="F86" s="12">
        <v>173428461.9</v>
      </c>
      <c r="G86" s="12">
        <v>177218984.12</v>
      </c>
      <c r="H86" s="10" t="s">
        <v>84</v>
      </c>
      <c r="J86" s="4" t="s">
        <v>57</v>
      </c>
      <c r="K86" s="5">
        <f ca="1">GETPIVOTDATA("Cantidad",Numerador!$A$7,"Depto","Jalapa","Año",2014)</f>
        <v>24130</v>
      </c>
      <c r="L86" s="6">
        <f ca="1">GETPIVOTDATA("Cantidad",Denominador!$A$7,"Depto","Jalapa","Año",2014)</f>
        <v>30404</v>
      </c>
      <c r="M86" s="7">
        <v>2014</v>
      </c>
    </row>
    <row r="87" spans="2:13">
      <c r="B87" s="4" t="s">
        <v>58</v>
      </c>
      <c r="C87" s="12">
        <v>191961086.99</v>
      </c>
      <c r="D87" s="12">
        <v>206232963.32</v>
      </c>
      <c r="E87" s="12">
        <v>227891773.8</v>
      </c>
      <c r="F87" s="12">
        <v>252749203.12</v>
      </c>
      <c r="G87" s="12">
        <v>255506485.22</v>
      </c>
      <c r="H87" s="10" t="s">
        <v>84</v>
      </c>
      <c r="J87" s="4" t="s">
        <v>58</v>
      </c>
      <c r="K87" s="5">
        <f ca="1">GETPIVOTDATA("Cantidad",Numerador!$A$7,"Depto","Jutiapa","Año",2014)</f>
        <v>32465</v>
      </c>
      <c r="L87" s="6">
        <f ca="1">GETPIVOTDATA("Cantidad",Denominador!$A$7,"Depto","Jutiapa","Año",2014)</f>
        <v>38244</v>
      </c>
      <c r="M87" s="7">
        <v>2014</v>
      </c>
    </row>
    <row r="88" spans="2:13">
      <c r="B88" s="4" t="s">
        <v>59</v>
      </c>
      <c r="C88" s="12">
        <v>263795839.29</v>
      </c>
      <c r="D88" s="12">
        <v>279291702.14</v>
      </c>
      <c r="E88" s="12">
        <v>312883606.47</v>
      </c>
      <c r="F88" s="12">
        <v>350441091.93</v>
      </c>
      <c r="G88" s="12">
        <v>357471685.88</v>
      </c>
      <c r="H88" s="10" t="s">
        <v>84</v>
      </c>
      <c r="J88" s="4" t="s">
        <v>59</v>
      </c>
      <c r="K88" s="5">
        <f ca="1">GETPIVOTDATA("Cantidad",Numerador!$A$7,"Depto","Petén","Año",2014)</f>
        <v>38581</v>
      </c>
      <c r="L88" s="6">
        <f ca="1">GETPIVOTDATA("Cantidad",Denominador!$A$7,"Depto","Petén","Año",2014)</f>
        <v>62127</v>
      </c>
      <c r="M88" s="7">
        <v>2014</v>
      </c>
    </row>
    <row r="89" spans="2:13">
      <c r="B89" s="4" t="s">
        <v>60</v>
      </c>
      <c r="C89" s="12">
        <v>309275792.15</v>
      </c>
      <c r="D89" s="12">
        <v>330487405.21</v>
      </c>
      <c r="E89" s="12">
        <v>366855976.8</v>
      </c>
      <c r="F89" s="12">
        <v>410993038.15</v>
      </c>
      <c r="G89" s="12">
        <v>413318050.16</v>
      </c>
      <c r="H89" s="10" t="s">
        <v>84</v>
      </c>
      <c r="J89" s="4" t="s">
        <v>60</v>
      </c>
      <c r="K89" s="5">
        <f ca="1">GETPIVOTDATA("Cantidad",Numerador!$A$7,"Depto","Quetzaltenango","Año",2014)</f>
        <v>56212</v>
      </c>
      <c r="L89" s="6">
        <f ca="1">GETPIVOTDATA("Cantidad",Denominador!$A$7,"Depto","Quetzaltenango","Año",2014)</f>
        <v>65847</v>
      </c>
      <c r="M89" s="7">
        <v>2014</v>
      </c>
    </row>
    <row r="90" spans="2:13">
      <c r="B90" s="4" t="s">
        <v>61</v>
      </c>
      <c r="C90" s="12">
        <v>401603902.22</v>
      </c>
      <c r="D90" s="12">
        <v>441552626.25</v>
      </c>
      <c r="E90" s="12">
        <v>493620579.15</v>
      </c>
      <c r="F90" s="12">
        <v>553161511.3</v>
      </c>
      <c r="G90" s="12">
        <v>569331504.4</v>
      </c>
      <c r="H90" s="10" t="s">
        <v>84</v>
      </c>
      <c r="J90" s="4" t="s">
        <v>61</v>
      </c>
      <c r="K90" s="5">
        <f ca="1">GETPIVOTDATA("Cantidad",Numerador!$A$7,"Depto","Quiché","Año",2014)</f>
        <v>73132</v>
      </c>
      <c r="L90" s="6">
        <f ca="1">GETPIVOTDATA("Cantidad",Denominador!$A$7,"Depto","Quiché","Año",2014)</f>
        <v>97380</v>
      </c>
      <c r="M90" s="7">
        <v>2014</v>
      </c>
    </row>
    <row r="91" spans="2:13">
      <c r="B91" s="4" t="s">
        <v>62</v>
      </c>
      <c r="C91" s="12">
        <v>142361327.19</v>
      </c>
      <c r="D91" s="12">
        <v>152624881.1</v>
      </c>
      <c r="E91" s="12">
        <v>171340667.4</v>
      </c>
      <c r="F91" s="12">
        <v>192432107.74</v>
      </c>
      <c r="G91" s="12">
        <v>196060476.53</v>
      </c>
      <c r="H91" s="10" t="s">
        <v>84</v>
      </c>
      <c r="J91" s="4" t="s">
        <v>62</v>
      </c>
      <c r="K91" s="5">
        <f ca="1">GETPIVOTDATA("Cantidad",Numerador!$A$7,"Depto","Retalhuleu","Año",2014)</f>
        <v>22054</v>
      </c>
      <c r="L91" s="6">
        <f ca="1">GETPIVOTDATA("Cantidad",Denominador!$A$7,"Depto","Retalhuleu","Año",2014)</f>
        <v>24595</v>
      </c>
      <c r="M91" s="7">
        <v>2014</v>
      </c>
    </row>
    <row r="92" spans="2:13">
      <c r="B92" s="4" t="s">
        <v>63</v>
      </c>
      <c r="C92" s="12">
        <v>80051213.14</v>
      </c>
      <c r="D92" s="12">
        <v>86658583.22</v>
      </c>
      <c r="E92" s="12">
        <v>95112816.35</v>
      </c>
      <c r="F92" s="12">
        <v>105746516.66</v>
      </c>
      <c r="G92" s="12">
        <v>106585749.17</v>
      </c>
      <c r="H92" s="10" t="s">
        <v>84</v>
      </c>
      <c r="J92" s="4" t="s">
        <v>63</v>
      </c>
      <c r="K92" s="5">
        <f ca="1">GETPIVOTDATA("Cantidad",Numerador!$A$7,"Depto","Sacatepéquez","Año",2014)</f>
        <v>20897</v>
      </c>
      <c r="L92" s="6">
        <f ca="1">GETPIVOTDATA("Cantidad",Denominador!$A$7,"Depto","Sacatepéquez","Año",2014)</f>
        <v>25859</v>
      </c>
      <c r="M92" s="7">
        <v>2014</v>
      </c>
    </row>
    <row r="93" spans="2:13">
      <c r="B93" s="4" t="s">
        <v>64</v>
      </c>
      <c r="C93" s="12">
        <v>436212252.1</v>
      </c>
      <c r="D93" s="12">
        <v>474486173.77</v>
      </c>
      <c r="E93" s="12">
        <v>526839778.94</v>
      </c>
      <c r="F93" s="12">
        <v>588442350.41</v>
      </c>
      <c r="G93" s="12">
        <v>600945517.89</v>
      </c>
      <c r="H93" s="10" t="s">
        <v>84</v>
      </c>
      <c r="J93" s="4" t="s">
        <v>64</v>
      </c>
      <c r="K93" s="5">
        <f ca="1">GETPIVOTDATA("Cantidad",Numerador!$A$7,"Depto","San Marcos","Año",2014)</f>
        <v>79277</v>
      </c>
      <c r="L93" s="6">
        <f ca="1">GETPIVOTDATA("Cantidad",Denominador!$A$7,"Depto","San Marcos","Año",2014)</f>
        <v>87305</v>
      </c>
      <c r="M93" s="7">
        <v>2014</v>
      </c>
    </row>
    <row r="94" spans="2:13">
      <c r="B94" s="4" t="s">
        <v>65</v>
      </c>
      <c r="C94" s="12">
        <v>151572644.12</v>
      </c>
      <c r="D94" s="12">
        <v>161481386.76</v>
      </c>
      <c r="E94" s="12">
        <v>179337834.57</v>
      </c>
      <c r="F94" s="12">
        <v>200046136.24</v>
      </c>
      <c r="G94" s="12">
        <v>203192037.33</v>
      </c>
      <c r="H94" s="10" t="s">
        <v>84</v>
      </c>
      <c r="J94" s="4" t="s">
        <v>65</v>
      </c>
      <c r="K94" s="5">
        <f ca="1">GETPIVOTDATA("Cantidad",Numerador!$A$7,"Depto","Santa Rosa","Año",2014)</f>
        <v>25463</v>
      </c>
      <c r="L94" s="6">
        <f ca="1">GETPIVOTDATA("Cantidad",Denominador!$A$7,"Depto","Santa Rosa","Año",2014)</f>
        <v>28276</v>
      </c>
      <c r="M94" s="7">
        <v>2014</v>
      </c>
    </row>
    <row r="95" spans="2:13">
      <c r="B95" s="4" t="s">
        <v>66</v>
      </c>
      <c r="C95" s="12">
        <v>190664417.16</v>
      </c>
      <c r="D95" s="12">
        <v>210533413.13</v>
      </c>
      <c r="E95" s="12">
        <v>234798149.08</v>
      </c>
      <c r="F95" s="12">
        <v>261155535.87</v>
      </c>
      <c r="G95" s="12">
        <v>266533495.03</v>
      </c>
      <c r="H95" s="10" t="s">
        <v>84</v>
      </c>
      <c r="J95" s="4" t="s">
        <v>66</v>
      </c>
      <c r="K95" s="5">
        <f ca="1">GETPIVOTDATA("Cantidad",Numerador!$A$7,"Depto","Sololá","Año",2014)</f>
        <v>29717</v>
      </c>
      <c r="L95" s="6">
        <f ca="1">GETPIVOTDATA("Cantidad",Denominador!$A$7,"Depto","Sololá","Año",2014)</f>
        <v>42206</v>
      </c>
      <c r="M95" s="7">
        <v>2014</v>
      </c>
    </row>
    <row r="96" spans="2:13">
      <c r="B96" s="4" t="s">
        <v>67</v>
      </c>
      <c r="C96" s="12">
        <v>193585695.77</v>
      </c>
      <c r="D96" s="12">
        <v>212921106.96</v>
      </c>
      <c r="E96" s="12">
        <v>233743013.07</v>
      </c>
      <c r="F96" s="12">
        <v>261057308.43</v>
      </c>
      <c r="G96" s="12">
        <v>264677710.23</v>
      </c>
      <c r="H96" s="10" t="s">
        <v>84</v>
      </c>
      <c r="J96" s="4" t="s">
        <v>67</v>
      </c>
      <c r="K96" s="5">
        <f ca="1">GETPIVOTDATA("Cantidad",Numerador!$A$7,"Depto","Suchitepéquez","Año",2014)</f>
        <v>37881</v>
      </c>
      <c r="L96" s="6">
        <f ca="1">GETPIVOTDATA("Cantidad",Denominador!$A$7,"Depto","Suchitepéquez","Año",2014)</f>
        <v>43741</v>
      </c>
      <c r="M96" s="7">
        <v>2014</v>
      </c>
    </row>
    <row r="97" spans="2:13">
      <c r="B97" s="4" t="s">
        <v>68</v>
      </c>
      <c r="C97" s="12">
        <v>169752398.63</v>
      </c>
      <c r="D97" s="12">
        <v>185484884.45</v>
      </c>
      <c r="E97" s="12">
        <v>204385489.57</v>
      </c>
      <c r="F97" s="12">
        <v>225850042.24</v>
      </c>
      <c r="G97" s="12">
        <v>232471923.82</v>
      </c>
      <c r="H97" s="10" t="s">
        <v>84</v>
      </c>
      <c r="J97" s="4" t="s">
        <v>68</v>
      </c>
      <c r="K97" s="5">
        <f ca="1">GETPIVOTDATA("Cantidad",Numerador!$A$7,"Depto","Totonicapán","Año",2014)</f>
        <v>32047</v>
      </c>
      <c r="L97" s="6">
        <f ca="1">GETPIVOTDATA("Cantidad",Denominador!$A$7,"Depto","Totonicapán","Año",2014)</f>
        <v>47394</v>
      </c>
      <c r="M97" s="7">
        <v>2014</v>
      </c>
    </row>
    <row r="98" spans="2:13">
      <c r="B98" s="4" t="s">
        <v>69</v>
      </c>
      <c r="C98" s="12">
        <v>97149931.22</v>
      </c>
      <c r="D98" s="12">
        <v>103614429.47</v>
      </c>
      <c r="E98" s="12">
        <v>114855108.9</v>
      </c>
      <c r="F98" s="12">
        <v>127183040.56</v>
      </c>
      <c r="G98" s="12">
        <v>126859086.98</v>
      </c>
      <c r="H98" s="10" t="s">
        <v>84</v>
      </c>
      <c r="J98" s="4" t="s">
        <v>69</v>
      </c>
      <c r="K98" s="5">
        <f ca="1">GETPIVOTDATA("Cantidad",Numerador!$A$7,"Depto","Zacapa","Año",2014)</f>
        <v>15986</v>
      </c>
      <c r="L98" s="6">
        <f ca="1">GETPIVOTDATA("Cantidad",Denominador!$A$7,"Depto","Zacapa","Año",2014)</f>
        <v>16899</v>
      </c>
      <c r="M98" s="7">
        <v>2014</v>
      </c>
    </row>
    <row r="99" spans="10:13">
      <c r="J99" s="4" t="s">
        <v>48</v>
      </c>
      <c r="K99" s="5">
        <f ca="1">GETPIVOTDATA("Cantidad",Numerador!$A$7,"Depto","Alta Verapaz","Año",2015)</f>
        <v>83851</v>
      </c>
      <c r="L99" s="6">
        <f ca="1">GETPIVOTDATA("Cantidad",Denominador!$A$7,"Depto","Alta Verapaz","Año",2015)</f>
        <v>106779</v>
      </c>
      <c r="M99" s="7">
        <v>2015</v>
      </c>
    </row>
    <row r="100" spans="10:13">
      <c r="J100" s="4" t="s">
        <v>49</v>
      </c>
      <c r="K100" s="5">
        <f ca="1">GETPIVOTDATA("Cantidad",Numerador!$A$7,"Depto","Baja Verapaz","Año",2015)</f>
        <v>19811</v>
      </c>
      <c r="L100" s="6">
        <f ca="1">GETPIVOTDATA("Cantidad",Denominador!$A$7,"Depto","Baja Verapaz","Año",2015)</f>
        <v>24746</v>
      </c>
      <c r="M100" s="7">
        <v>2015</v>
      </c>
    </row>
    <row r="101" spans="10:13">
      <c r="J101" s="4" t="s">
        <v>50</v>
      </c>
      <c r="K101" s="5">
        <f ca="1">GETPIVOTDATA("Cantidad",Numerador!$A$7,"Depto","Chimaltenango","Año",2015)</f>
        <v>42309</v>
      </c>
      <c r="L101" s="6">
        <f ca="1">GETPIVOTDATA("Cantidad",Denominador!$A$7,"Depto","Chimaltenango","Año",2015)</f>
        <v>58471</v>
      </c>
      <c r="M101" s="7">
        <v>2015</v>
      </c>
    </row>
    <row r="102" spans="10:13">
      <c r="J102" s="4" t="s">
        <v>51</v>
      </c>
      <c r="K102" s="5">
        <f ca="1">GETPIVOTDATA("Cantidad",Numerador!$A$7,"Depto","Chiquimula","Año",2015)</f>
        <v>28456</v>
      </c>
      <c r="L102" s="6">
        <f ca="1">GETPIVOTDATA("Cantidad",Denominador!$A$7,"Depto","Chiquimula","Año",2015)</f>
        <v>33352</v>
      </c>
      <c r="M102" s="7">
        <v>2015</v>
      </c>
    </row>
    <row r="103" spans="10:13">
      <c r="J103" s="4" t="s">
        <v>52</v>
      </c>
      <c r="K103" s="5">
        <f ca="1">GETPIVOTDATA("Cantidad",Numerador!$A$7,"Depto","El Progreso","Año",2015)</f>
        <v>10977</v>
      </c>
      <c r="L103" s="6">
        <f ca="1">GETPIVOTDATA("Cantidad",Denominador!$A$7,"Depto","El Progreso","Año",2015)</f>
        <v>12341</v>
      </c>
      <c r="M103" s="7">
        <v>2015</v>
      </c>
    </row>
    <row r="104" spans="10:13">
      <c r="J104" s="4" t="s">
        <v>53</v>
      </c>
      <c r="K104" s="5">
        <f ca="1">GETPIVOTDATA("Cantidad",Numerador!$A$7,"Depto","Escuintla","Año",2015)</f>
        <v>46541</v>
      </c>
      <c r="L104" s="6">
        <f ca="1">GETPIVOTDATA("Cantidad",Denominador!$A$7,"Depto","Escuintla","Año",2015)</f>
        <v>52924</v>
      </c>
      <c r="M104" s="7">
        <v>2015</v>
      </c>
    </row>
    <row r="105" spans="10:13">
      <c r="J105" s="4" t="s">
        <v>54</v>
      </c>
      <c r="K105" s="5">
        <f ca="1">GETPIVOTDATA("Cantidad",Numerador!$A$7,"Depto","Guatemala","Año",2015)</f>
        <v>192638</v>
      </c>
      <c r="L105" s="6">
        <f ca="1">GETPIVOTDATA("Cantidad",Denominador!$A$7,"Depto","Guatemala","Año",2015)</f>
        <v>207719</v>
      </c>
      <c r="M105" s="7">
        <v>2015</v>
      </c>
    </row>
    <row r="106" spans="10:13">
      <c r="J106" s="4" t="s">
        <v>55</v>
      </c>
      <c r="K106" s="5">
        <f ca="1">GETPIVOTDATA("Cantidad",Numerador!$A$7,"Depto","Huehuetenango","Año",2015)</f>
        <v>87662</v>
      </c>
      <c r="L106" s="6">
        <f ca="1">GETPIVOTDATA("Cantidad",Denominador!$A$7,"Depto","Huehuetenango","Año",2015)</f>
        <v>108051</v>
      </c>
      <c r="M106" s="7">
        <v>2015</v>
      </c>
    </row>
    <row r="107" spans="10:13">
      <c r="J107" s="4" t="s">
        <v>56</v>
      </c>
      <c r="K107" s="5">
        <f ca="1">GETPIVOTDATA("Cantidad",Numerador!$A$7,"Depto","Izabal","Año",2015)</f>
        <v>27670</v>
      </c>
      <c r="L107" s="6">
        <f ca="1">GETPIVOTDATA("Cantidad",Denominador!$A$7,"Depto","Izabal","Año",2015)</f>
        <v>35666</v>
      </c>
      <c r="M107" s="7">
        <v>2015</v>
      </c>
    </row>
    <row r="108" spans="10:13">
      <c r="J108" s="4" t="s">
        <v>57</v>
      </c>
      <c r="K108" s="5">
        <f ca="1">GETPIVOTDATA("Cantidad",Numerador!$A$7,"Depto","Jalapa","Año",2015)</f>
        <v>24119</v>
      </c>
      <c r="L108" s="6">
        <f ca="1">GETPIVOTDATA("Cantidad",Denominador!$A$7,"Depto","Jalapa","Año",2015)</f>
        <v>31137</v>
      </c>
      <c r="M108" s="7">
        <v>2015</v>
      </c>
    </row>
    <row r="109" spans="10:13">
      <c r="J109" s="4" t="s">
        <v>58</v>
      </c>
      <c r="K109" s="5">
        <f ca="1">GETPIVOTDATA("Cantidad",Numerador!$A$7,"Depto","Jutiapa","Año",2015)</f>
        <v>31658</v>
      </c>
      <c r="L109" s="6">
        <f ca="1">GETPIVOTDATA("Cantidad",Denominador!$A$7,"Depto","Jutiapa","Año",2015)</f>
        <v>38959</v>
      </c>
      <c r="M109" s="7">
        <v>2015</v>
      </c>
    </row>
    <row r="110" spans="10:13">
      <c r="J110" s="4" t="s">
        <v>59</v>
      </c>
      <c r="K110" s="5">
        <f ca="1">GETPIVOTDATA("Cantidad",Numerador!$A$7,"Depto","Petén","Año",2015)</f>
        <v>38596</v>
      </c>
      <c r="L110" s="6">
        <f ca="1">GETPIVOTDATA("Cantidad",Denominador!$A$7,"Depto","Petén","Año",2015)</f>
        <v>64483</v>
      </c>
      <c r="M110" s="7">
        <v>2015</v>
      </c>
    </row>
    <row r="111" spans="10:13">
      <c r="J111" s="4" t="s">
        <v>60</v>
      </c>
      <c r="K111" s="5">
        <f ca="1">GETPIVOTDATA("Cantidad",Numerador!$A$7,"Depto","Quetzaltenango","Año",2015)</f>
        <v>54713</v>
      </c>
      <c r="L111" s="6">
        <f ca="1">GETPIVOTDATA("Cantidad",Denominador!$A$7,"Depto","Quetzaltenango","Año",2015)</f>
        <v>67269</v>
      </c>
      <c r="M111" s="7">
        <v>2015</v>
      </c>
    </row>
    <row r="112" spans="10:13">
      <c r="J112" s="4" t="s">
        <v>61</v>
      </c>
      <c r="K112" s="5">
        <f ca="1">GETPIVOTDATA("Cantidad",Numerador!$A$7,"Depto","Quiché","Año",2015)</f>
        <v>72493</v>
      </c>
      <c r="L112" s="6">
        <f ca="1">GETPIVOTDATA("Cantidad",Denominador!$A$7,"Depto","Quiché","Año",2015)</f>
        <v>100438</v>
      </c>
      <c r="M112" s="7">
        <v>2015</v>
      </c>
    </row>
    <row r="113" spans="10:13">
      <c r="J113" s="4" t="s">
        <v>62</v>
      </c>
      <c r="K113" s="5">
        <f ca="1">GETPIVOTDATA("Cantidad",Numerador!$A$7,"Depto","Retalhuleu","Año",2015)</f>
        <v>21835</v>
      </c>
      <c r="L113" s="6">
        <f ca="1">GETPIVOTDATA("Cantidad",Denominador!$A$7,"Depto","Retalhuleu","Año",2015)</f>
        <v>25019</v>
      </c>
      <c r="M113" s="7">
        <v>2015</v>
      </c>
    </row>
    <row r="114" spans="10:13">
      <c r="J114" s="4" t="s">
        <v>63</v>
      </c>
      <c r="K114" s="5">
        <f ca="1">GETPIVOTDATA("Cantidad",Numerador!$A$7,"Depto","Sacatepéquez","Año",2015)</f>
        <v>20890</v>
      </c>
      <c r="L114" s="6">
        <f ca="1">GETPIVOTDATA("Cantidad",Denominador!$A$7,"Depto","Sacatepéquez","Año",2015)</f>
        <v>24640</v>
      </c>
      <c r="M114" s="7">
        <v>2015</v>
      </c>
    </row>
    <row r="115" spans="10:13">
      <c r="J115" s="4" t="s">
        <v>64</v>
      </c>
      <c r="K115" s="5">
        <f ca="1">GETPIVOTDATA("Cantidad",Numerador!$A$7,"Depto","San Marcos","Año",2015)</f>
        <v>77599</v>
      </c>
      <c r="L115" s="6">
        <f ca="1">GETPIVOTDATA("Cantidad",Denominador!$A$7,"Depto","San Marcos","Año",2015)</f>
        <v>88539</v>
      </c>
      <c r="M115" s="7">
        <v>2015</v>
      </c>
    </row>
    <row r="116" spans="10:13">
      <c r="J116" s="4" t="s">
        <v>65</v>
      </c>
      <c r="K116" s="5">
        <f ca="1">GETPIVOTDATA("Cantidad",Numerador!$A$7,"Depto","Santa Rosa","Año",2015)</f>
        <v>25310</v>
      </c>
      <c r="L116" s="6">
        <f ca="1">GETPIVOTDATA("Cantidad",Denominador!$A$7,"Depto","Santa Rosa","Año",2015)</f>
        <v>28617</v>
      </c>
      <c r="M116" s="7">
        <v>2015</v>
      </c>
    </row>
    <row r="117" spans="10:13">
      <c r="J117" s="4" t="s">
        <v>66</v>
      </c>
      <c r="K117" s="5">
        <f ca="1">GETPIVOTDATA("Cantidad",Numerador!$A$7,"Depto","Sololá","Año",2015)</f>
        <v>29313</v>
      </c>
      <c r="L117" s="6">
        <f ca="1">GETPIVOTDATA("Cantidad",Denominador!$A$7,"Depto","Sololá","Año",2015)</f>
        <v>43633</v>
      </c>
      <c r="M117" s="7">
        <v>2015</v>
      </c>
    </row>
    <row r="118" spans="10:13">
      <c r="J118" s="4" t="s">
        <v>67</v>
      </c>
      <c r="K118" s="5">
        <f ca="1">GETPIVOTDATA("Cantidad",Numerador!$A$7,"Depto","Suchitepéquez","Año",2015)</f>
        <v>37574</v>
      </c>
      <c r="L118" s="6">
        <f ca="1">GETPIVOTDATA("Cantidad",Denominador!$A$7,"Depto","Suchitepéquez","Año",2015)</f>
        <v>44489</v>
      </c>
      <c r="M118" s="7">
        <v>2015</v>
      </c>
    </row>
    <row r="119" spans="10:13">
      <c r="J119" s="4" t="s">
        <v>68</v>
      </c>
      <c r="K119" s="5">
        <f ca="1">GETPIVOTDATA("Cantidad",Numerador!$A$7,"Depto","Totonicapán","Año",2015)</f>
        <v>30995</v>
      </c>
      <c r="L119" s="6">
        <f ca="1">GETPIVOTDATA("Cantidad",Denominador!$A$7,"Depto","Totonicapán","Año",2015)</f>
        <v>49227</v>
      </c>
      <c r="M119" s="7">
        <v>2015</v>
      </c>
    </row>
    <row r="120" spans="10:13">
      <c r="J120" s="4" t="s">
        <v>69</v>
      </c>
      <c r="K120" s="5">
        <f ca="1">GETPIVOTDATA("Cantidad",Numerador!$A$7,"Depto","Zacapa","Año",2015)</f>
        <v>15680</v>
      </c>
      <c r="L120" s="6">
        <f ca="1">GETPIVOTDATA("Cantidad",Denominador!$A$7,"Depto","Zacapa","Año",2015)</f>
        <v>16872</v>
      </c>
      <c r="M120" s="7">
        <v>2015</v>
      </c>
    </row>
    <row r="121" spans="10:13">
      <c r="J121" s="4" t="s">
        <v>48</v>
      </c>
      <c r="K121" s="5">
        <f ca="1">GETPIVOTDATA("Cantidad",Numerador!$A$7,"Depto","Alta Verapaz","Año",2016)</f>
        <v>84117</v>
      </c>
      <c r="L121" s="6">
        <f ca="1">GETPIVOTDATA("Cantidad",Denominador!$A$7,"Depto","Alta Verapaz","Año",2016)</f>
        <v>108470</v>
      </c>
      <c r="M121" s="7">
        <v>2016</v>
      </c>
    </row>
    <row r="122" spans="10:13">
      <c r="J122" s="4" t="s">
        <v>49</v>
      </c>
      <c r="K122" s="5">
        <f ca="1">GETPIVOTDATA("Cantidad",Numerador!$A$7,"Depto","Baja Verapaz","Año",2016)</f>
        <v>19239</v>
      </c>
      <c r="L122" s="6">
        <f ca="1">GETPIVOTDATA("Cantidad",Denominador!$A$7,"Depto","Baja Verapaz","Año",2016)</f>
        <v>25174</v>
      </c>
      <c r="M122" s="7">
        <v>2016</v>
      </c>
    </row>
    <row r="123" spans="10:13">
      <c r="J123" s="4" t="s">
        <v>50</v>
      </c>
      <c r="K123" s="5">
        <f ca="1">GETPIVOTDATA("Cantidad",Numerador!$A$7,"Depto","Chimaltenango","Año",2016)</f>
        <v>41893</v>
      </c>
      <c r="L123" s="6">
        <f ca="1">GETPIVOTDATA("Cantidad",Denominador!$A$7,"Depto","Chimaltenango","Año",2016)</f>
        <v>59694</v>
      </c>
      <c r="M123" s="7">
        <v>2016</v>
      </c>
    </row>
    <row r="124" spans="10:13">
      <c r="J124" s="4" t="s">
        <v>51</v>
      </c>
      <c r="K124" s="5">
        <f ca="1">GETPIVOTDATA("Cantidad",Numerador!$A$7,"Depto","Chiquimula","Año",2016)</f>
        <v>27583</v>
      </c>
      <c r="L124" s="6">
        <f ca="1">GETPIVOTDATA("Cantidad",Denominador!$A$7,"Depto","Chiquimula","Año",2016)</f>
        <v>33757</v>
      </c>
      <c r="M124" s="7">
        <v>2016</v>
      </c>
    </row>
    <row r="125" spans="10:13">
      <c r="J125" s="4" t="s">
        <v>52</v>
      </c>
      <c r="K125" s="5">
        <f ca="1">GETPIVOTDATA("Cantidad",Numerador!$A$7,"Depto","El Progreso","Año",2016)</f>
        <v>10856</v>
      </c>
      <c r="L125" s="6">
        <f ca="1">GETPIVOTDATA("Cantidad",Denominador!$A$7,"Depto","El Progreso","Año",2016)</f>
        <v>12428</v>
      </c>
      <c r="M125" s="7">
        <v>2016</v>
      </c>
    </row>
    <row r="126" spans="10:13">
      <c r="J126" s="4" t="s">
        <v>53</v>
      </c>
      <c r="K126" s="5">
        <f ca="1">GETPIVOTDATA("Cantidad",Numerador!$A$7,"Depto","Escuintla","Año",2016)</f>
        <v>46670</v>
      </c>
      <c r="L126" s="6">
        <f ca="1">GETPIVOTDATA("Cantidad",Denominador!$A$7,"Depto","Escuintla","Año",2016)</f>
        <v>53416</v>
      </c>
      <c r="M126" s="7">
        <v>2016</v>
      </c>
    </row>
    <row r="127" spans="10:13">
      <c r="J127" s="4" t="s">
        <v>54</v>
      </c>
      <c r="K127" s="5">
        <f ca="1">GETPIVOTDATA("Cantidad",Numerador!$A$7,"Depto","Guatemala","Año",2016)</f>
        <v>193464</v>
      </c>
      <c r="L127" s="6">
        <f ca="1">GETPIVOTDATA("Cantidad",Denominador!$A$7,"Depto","Guatemala","Año",2016)</f>
        <v>206874</v>
      </c>
      <c r="M127" s="7">
        <v>2016</v>
      </c>
    </row>
    <row r="128" spans="10:13">
      <c r="J128" s="4" t="s">
        <v>55</v>
      </c>
      <c r="K128" s="5">
        <f ca="1">GETPIVOTDATA("Cantidad",Numerador!$A$7,"Depto","Huehuetenango","Año",2016)</f>
        <v>85323</v>
      </c>
      <c r="L128" s="6">
        <f ca="1">GETPIVOTDATA("Cantidad",Denominador!$A$7,"Depto","Huehuetenango","Año",2016)</f>
        <v>109765</v>
      </c>
      <c r="M128" s="7">
        <v>2016</v>
      </c>
    </row>
    <row r="129" spans="10:13">
      <c r="J129" s="4" t="s">
        <v>56</v>
      </c>
      <c r="K129" s="5">
        <f ca="1">GETPIVOTDATA("Cantidad",Numerador!$A$7,"Depto","Izabal","Año",2016)</f>
        <v>27096</v>
      </c>
      <c r="L129" s="6">
        <f ca="1">GETPIVOTDATA("Cantidad",Denominador!$A$7,"Depto","Izabal","Año",2016)</f>
        <v>36104</v>
      </c>
      <c r="M129" s="7">
        <v>2016</v>
      </c>
    </row>
    <row r="130" spans="10:13">
      <c r="J130" s="4" t="s">
        <v>57</v>
      </c>
      <c r="K130" s="5">
        <f ca="1">GETPIVOTDATA("Cantidad",Numerador!$A$7,"Depto","Jalapa","Año",2016)</f>
        <v>23446</v>
      </c>
      <c r="L130" s="6">
        <f ca="1">GETPIVOTDATA("Cantidad",Denominador!$A$7,"Depto","Jalapa","Año",2016)</f>
        <v>31787</v>
      </c>
      <c r="M130" s="7">
        <v>2016</v>
      </c>
    </row>
    <row r="131" spans="10:13">
      <c r="J131" s="4" t="s">
        <v>58</v>
      </c>
      <c r="K131" s="5">
        <f ca="1">GETPIVOTDATA("Cantidad",Numerador!$A$7,"Depto","Jutiapa","Año",2016)</f>
        <v>31141</v>
      </c>
      <c r="L131" s="6">
        <f ca="1">GETPIVOTDATA("Cantidad",Denominador!$A$7,"Depto","Jutiapa","Año",2016)</f>
        <v>39547</v>
      </c>
      <c r="M131" s="7">
        <v>2016</v>
      </c>
    </row>
    <row r="132" spans="10:13">
      <c r="J132" s="4" t="s">
        <v>59</v>
      </c>
      <c r="K132" s="5">
        <f ca="1">GETPIVOTDATA("Cantidad",Numerador!$A$7,"Depto","Petén","Año",2016)</f>
        <v>38437</v>
      </c>
      <c r="L132" s="6">
        <f ca="1">GETPIVOTDATA("Cantidad",Denominador!$A$7,"Depto","Petén","Año",2016)</f>
        <v>66507</v>
      </c>
      <c r="M132" s="7">
        <v>2016</v>
      </c>
    </row>
    <row r="133" spans="10:13">
      <c r="J133" s="4" t="s">
        <v>60</v>
      </c>
      <c r="K133" s="5">
        <f ca="1">GETPIVOTDATA("Cantidad",Numerador!$A$7,"Depto","Quetzaltenango","Año",2016)</f>
        <v>52953</v>
      </c>
      <c r="L133" s="6">
        <f ca="1">GETPIVOTDATA("Cantidad",Denominador!$A$7,"Depto","Quetzaltenango","Año",2016)</f>
        <v>68482</v>
      </c>
      <c r="M133" s="7">
        <v>2016</v>
      </c>
    </row>
    <row r="134" spans="10:13">
      <c r="J134" s="4" t="s">
        <v>61</v>
      </c>
      <c r="K134" s="5">
        <f ca="1">GETPIVOTDATA("Cantidad",Numerador!$A$7,"Depto","Quiché","Año",2016)</f>
        <v>70779</v>
      </c>
      <c r="L134" s="6">
        <f ca="1">GETPIVOTDATA("Cantidad",Denominador!$A$7,"Depto","Quiché","Año",2016)</f>
        <v>103222</v>
      </c>
      <c r="M134" s="7">
        <v>2016</v>
      </c>
    </row>
    <row r="135" spans="10:13">
      <c r="J135" s="4" t="s">
        <v>62</v>
      </c>
      <c r="K135" s="5">
        <f ca="1">GETPIVOTDATA("Cantidad",Numerador!$A$7,"Depto","Retalhuleu","Año",2016)</f>
        <v>21440</v>
      </c>
      <c r="L135" s="6">
        <f ca="1">GETPIVOTDATA("Cantidad",Denominador!$A$7,"Depto","Retalhuleu","Año",2016)</f>
        <v>25425</v>
      </c>
      <c r="M135" s="7">
        <v>2016</v>
      </c>
    </row>
    <row r="136" spans="10:13">
      <c r="J136" s="4" t="s">
        <v>63</v>
      </c>
      <c r="K136" s="5">
        <f ca="1">GETPIVOTDATA("Cantidad",Numerador!$A$7,"Depto","Sacatepéquez","Año",2016)</f>
        <v>20929</v>
      </c>
      <c r="L136" s="6">
        <f ca="1">GETPIVOTDATA("Cantidad",Denominador!$A$7,"Depto","Sacatepéquez","Año",2016)</f>
        <v>24817</v>
      </c>
      <c r="M136" s="7">
        <v>2016</v>
      </c>
    </row>
    <row r="137" spans="10:13">
      <c r="J137" s="4" t="s">
        <v>64</v>
      </c>
      <c r="K137" s="5">
        <f ca="1">GETPIVOTDATA("Cantidad",Numerador!$A$7,"Depto","San Marcos","Año",2016)</f>
        <v>75601</v>
      </c>
      <c r="L137" s="6">
        <f ca="1">GETPIVOTDATA("Cantidad",Denominador!$A$7,"Depto","San Marcos","Año",2016)</f>
        <v>89687</v>
      </c>
      <c r="M137" s="7">
        <v>2016</v>
      </c>
    </row>
    <row r="138" spans="10:13">
      <c r="J138" s="4" t="s">
        <v>65</v>
      </c>
      <c r="K138" s="5">
        <f ca="1">GETPIVOTDATA("Cantidad",Numerador!$A$7,"Depto","Santa Rosa","Año",2016)</f>
        <v>24955</v>
      </c>
      <c r="L138" s="6">
        <f ca="1">GETPIVOTDATA("Cantidad",Denominador!$A$7,"Depto","Santa Rosa","Año",2016)</f>
        <v>28940</v>
      </c>
      <c r="M138" s="7">
        <v>2016</v>
      </c>
    </row>
    <row r="139" spans="10:13">
      <c r="J139" s="4" t="s">
        <v>66</v>
      </c>
      <c r="K139" s="5">
        <f ca="1">GETPIVOTDATA("Cantidad",Numerador!$A$7,"Depto","Sololá","Año",2016)</f>
        <v>28649</v>
      </c>
      <c r="L139" s="6">
        <f ca="1">GETPIVOTDATA("Cantidad",Denominador!$A$7,"Depto","Sololá","Año",2016)</f>
        <v>44780</v>
      </c>
      <c r="M139" s="7">
        <v>2016</v>
      </c>
    </row>
    <row r="140" spans="10:13">
      <c r="J140" s="4" t="s">
        <v>67</v>
      </c>
      <c r="K140" s="5">
        <f ca="1">GETPIVOTDATA("Cantidad",Numerador!$A$7,"Depto","Suchitepéquez","Año",2016)</f>
        <v>37016</v>
      </c>
      <c r="L140" s="6">
        <f ca="1">GETPIVOTDATA("Cantidad",Denominador!$A$7,"Depto","Suchitepéquez","Año",2016)</f>
        <v>45209</v>
      </c>
      <c r="M140" s="7">
        <v>2016</v>
      </c>
    </row>
    <row r="141" spans="10:13">
      <c r="J141" s="4" t="s">
        <v>68</v>
      </c>
      <c r="K141" s="5">
        <f ca="1">GETPIVOTDATA("Cantidad",Numerador!$A$7,"Depto","Totonicapán","Año",2016)</f>
        <v>29985</v>
      </c>
      <c r="L141" s="6">
        <f ca="1">GETPIVOTDATA("Cantidad",Denominador!$A$7,"Depto","Totonicapán","Año",2016)</f>
        <v>50750</v>
      </c>
      <c r="M141" s="7">
        <v>2016</v>
      </c>
    </row>
    <row r="142" spans="10:13">
      <c r="J142" s="4" t="s">
        <v>69</v>
      </c>
      <c r="K142" s="5">
        <f ca="1">GETPIVOTDATA("Cantidad",Numerador!$A$7,"Depto","Zacapa","Año",2016)</f>
        <v>15531</v>
      </c>
      <c r="L142" s="6">
        <f ca="1">GETPIVOTDATA("Cantidad",Denominador!$A$7,"Depto","Zacapa","Año",2016)</f>
        <v>16874</v>
      </c>
      <c r="M142" s="7">
        <v>2016</v>
      </c>
    </row>
  </sheetData>
  <mergeCells count="3">
    <mergeCell ref="C3:G3"/>
    <mergeCell ref="H3:L3"/>
    <mergeCell ref="M3:Q3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Q66"/>
  <sheetViews>
    <sheetView showGridLines="0" topLeftCell="B1" workbookViewId="0">
      <selection activeCell="J62" sqref="J62"/>
    </sheetView>
  </sheetViews>
  <sheetFormatPr defaultColWidth="9" defaultRowHeight="15"/>
  <cols>
    <col min="3" max="3" width="32.2857142857143" customWidth="1"/>
    <col min="5" max="5" width="17.2857142857143" customWidth="1"/>
    <col min="6" max="6" width="22.8571428571429" customWidth="1"/>
    <col min="7" max="7" width="14.8571428571429" customWidth="1"/>
    <col min="8" max="8" width="18.4285714285714" customWidth="1"/>
    <col min="9" max="9" width="11.2857142857143" customWidth="1"/>
    <col min="11" max="11" width="15.4285714285714" customWidth="1"/>
    <col min="12" max="12" width="11.4285714285714" customWidth="1"/>
    <col min="13" max="13" width="10.2857142857143" customWidth="1"/>
    <col min="14" max="14" width="10.7142857142857" customWidth="1"/>
    <col min="15" max="15" width="10.2857142857143" customWidth="1"/>
    <col min="16" max="16" width="10.7142857142857" customWidth="1"/>
    <col min="17" max="17" width="14.2857142857143" customWidth="1"/>
  </cols>
  <sheetData>
    <row r="3" ht="21" spans="3:11">
      <c r="C3" s="15" t="s">
        <v>85</v>
      </c>
      <c r="K3" s="15" t="s">
        <v>86</v>
      </c>
    </row>
    <row r="5" spans="3:11">
      <c r="C5" s="16" t="s">
        <v>87</v>
      </c>
      <c r="K5" s="16" t="s">
        <v>88</v>
      </c>
    </row>
    <row r="6" spans="3:17">
      <c r="C6" s="16" t="s">
        <v>79</v>
      </c>
      <c r="D6" s="17">
        <v>2012</v>
      </c>
      <c r="E6" s="17">
        <v>2013</v>
      </c>
      <c r="F6" s="17">
        <v>2014</v>
      </c>
      <c r="G6" s="17">
        <v>2015</v>
      </c>
      <c r="H6" s="17">
        <v>2016</v>
      </c>
      <c r="I6" s="17" t="s">
        <v>47</v>
      </c>
      <c r="K6" s="16" t="s">
        <v>79</v>
      </c>
      <c r="L6" s="27">
        <v>2012</v>
      </c>
      <c r="M6" s="27">
        <v>2013</v>
      </c>
      <c r="N6" s="27">
        <v>2014</v>
      </c>
      <c r="O6" s="27">
        <v>2015</v>
      </c>
      <c r="P6" s="27">
        <v>2016</v>
      </c>
      <c r="Q6" s="27" t="s">
        <v>47</v>
      </c>
    </row>
    <row r="7" spans="3:17">
      <c r="C7" s="18" t="s">
        <v>48</v>
      </c>
      <c r="D7" s="19">
        <f ca="1">GETPIVOTDATA("Cantidad",Numerador!$A$7,"Depto","Alta Verapaz","Año",2012)</f>
        <v>85161</v>
      </c>
      <c r="E7" s="19">
        <f ca="1">GETPIVOTDATA("Cantidad",Numerador!$A$7,"Depto","Alta Verapaz","Año",2013)</f>
        <v>84385</v>
      </c>
      <c r="F7" s="19">
        <f ca="1">GETPIVOTDATA("Cantidad",Numerador!$A$7,"Depto","Alta Verapaz","Año",2014)</f>
        <v>83437</v>
      </c>
      <c r="G7" s="19">
        <f ca="1">GETPIVOTDATA("Cantidad",Numerador!$A$7,"Depto","Alta Verapaz","Año",2015)</f>
        <v>83851</v>
      </c>
      <c r="H7" s="19">
        <f ca="1">GETPIVOTDATA("Cantidad",Numerador!$A$7,"Depto","Alta Verapaz","Año",2016)</f>
        <v>84117</v>
      </c>
      <c r="I7" s="19">
        <f ca="1">SUM(D7:H7)</f>
        <v>420951</v>
      </c>
      <c r="K7" s="18" t="s">
        <v>48</v>
      </c>
      <c r="L7" s="28">
        <f ca="1">GETPIVOTDATA("Cantidad",Denominador!$A$7,"Depto","Alta Verapaz","Año",2012)</f>
        <v>103498</v>
      </c>
      <c r="M7" s="28">
        <f ca="1">GETPIVOTDATA("Cantidad",Denominador!$A$7,"Depto","Alta Verapaz","Año",2013)</f>
        <v>106168</v>
      </c>
      <c r="N7" s="28">
        <f ca="1">GETPIVOTDATA("Cantidad",Denominador!$A$7,"Depto","Alta Verapaz","Año",2014)</f>
        <v>105141</v>
      </c>
      <c r="O7" s="28">
        <f ca="1">GETPIVOTDATA("Cantidad",Denominador!$A$7,"Depto","Alta Verapaz","Año",2015)</f>
        <v>106779</v>
      </c>
      <c r="P7" s="28">
        <f ca="1">GETPIVOTDATA("Cantidad",Denominador!$A$7,"Depto","Alta Verapaz","Año",2016)</f>
        <v>108470</v>
      </c>
      <c r="Q7" s="28">
        <f ca="1">SUM(L7:P7)</f>
        <v>530056</v>
      </c>
    </row>
    <row r="8" spans="3:17">
      <c r="C8" s="18" t="s">
        <v>49</v>
      </c>
      <c r="D8" s="19">
        <f ca="1">GETPIVOTDATA("Cantidad",Numerador!$A$7,"Depto","Baja Verapaz","Año",2012)</f>
        <v>21119</v>
      </c>
      <c r="E8" s="19">
        <f ca="1">GETPIVOTDATA("Cantidad",Numerador!$A$7,"Depto","Baja Verapaz","Año",2013)</f>
        <v>20306</v>
      </c>
      <c r="F8" s="19">
        <f ca="1">GETPIVOTDATA("Cantidad",Numerador!$A$7,"Depto","Baja Verapaz","Año",2014)</f>
        <v>19941</v>
      </c>
      <c r="G8" s="19">
        <f ca="1">GETPIVOTDATA("Cantidad",Numerador!$A$7,"Depto","Baja Verapaz","Año",2015)</f>
        <v>19811</v>
      </c>
      <c r="H8" s="19">
        <f ca="1">GETPIVOTDATA("Cantidad",Numerador!$A$7,"Depto","Baja Verapaz","Año",2016)</f>
        <v>19239</v>
      </c>
      <c r="I8" s="19">
        <f ca="1" t="shared" ref="I8:I28" si="0">SUM(D8:H8)</f>
        <v>100416</v>
      </c>
      <c r="K8" s="18" t="s">
        <v>49</v>
      </c>
      <c r="L8" s="28">
        <f ca="1">GETPIVOTDATA("Cantidad",Denominador!$A$7,"Depto","Baja Verapaz","Año",2012)</f>
        <v>23549</v>
      </c>
      <c r="M8" s="28">
        <f ca="1">GETPIVOTDATA("Cantidad",Denominador!$A$7,"Depto","Baja Verapaz","Año",2013)</f>
        <v>23903</v>
      </c>
      <c r="N8" s="28">
        <f ca="1">GETPIVOTDATA("Cantidad",Denominador!$A$7,"Depto","Baja Verapaz","Año",2014)</f>
        <v>24312</v>
      </c>
      <c r="O8" s="28">
        <f ca="1">GETPIVOTDATA("Cantidad",Denominador!$A$7,"Depto","Baja Verapaz","Año",2015)</f>
        <v>24746</v>
      </c>
      <c r="P8" s="28">
        <f ca="1">GETPIVOTDATA("Cantidad",Denominador!$A$7,"Depto","Baja Verapaz","Año",2016)</f>
        <v>25174</v>
      </c>
      <c r="Q8" s="28">
        <f ca="1" t="shared" ref="Q8:Q28" si="1">SUM(L8:P8)</f>
        <v>121684</v>
      </c>
    </row>
    <row r="9" spans="3:17">
      <c r="C9" s="18" t="s">
        <v>50</v>
      </c>
      <c r="D9" s="19">
        <f ca="1">GETPIVOTDATA("Cantidad",Numerador!$A$7,"Depto","Chimaltenango","Año",2012)</f>
        <v>44192</v>
      </c>
      <c r="E9" s="19">
        <f ca="1">GETPIVOTDATA("Cantidad",Numerador!$A$7,"Depto","Chimaltenango","Año",2013)</f>
        <v>43313</v>
      </c>
      <c r="F9" s="19">
        <f ca="1">GETPIVOTDATA("Cantidad",Numerador!$A$7,"Depto","Chimaltenango","Año",2014)</f>
        <v>42588</v>
      </c>
      <c r="G9" s="19">
        <f ca="1">GETPIVOTDATA("Cantidad",Numerador!$A$7,"Depto","Chimaltenango","Año",2015)</f>
        <v>42309</v>
      </c>
      <c r="H9" s="19">
        <f ca="1">GETPIVOTDATA("Cantidad",Numerador!$A$7,"Depto","Chimaltenango","Año",2016)</f>
        <v>41893</v>
      </c>
      <c r="I9" s="19">
        <f ca="1" t="shared" si="0"/>
        <v>214295</v>
      </c>
      <c r="K9" s="18" t="s">
        <v>50</v>
      </c>
      <c r="L9" s="28">
        <f ca="1">GETPIVOTDATA("Cantidad",Denominador!$A$7,"Depto","Chimaltenango","Año",2012)</f>
        <v>53800</v>
      </c>
      <c r="M9" s="28">
        <f ca="1">GETPIVOTDATA("Cantidad",Denominador!$A$7,"Depto","Chimaltenango","Año",2013)</f>
        <v>55352</v>
      </c>
      <c r="N9" s="28">
        <f ca="1">GETPIVOTDATA("Cantidad",Denominador!$A$7,"Depto","Chimaltenango","Año",2014)</f>
        <v>57038</v>
      </c>
      <c r="O9" s="28">
        <f ca="1">GETPIVOTDATA("Cantidad",Denominador!$A$7,"Depto","Chimaltenango","Año",2015)</f>
        <v>58471</v>
      </c>
      <c r="P9" s="28">
        <f ca="1">GETPIVOTDATA("Cantidad",Denominador!$A$7,"Depto","Chimaltenango","Año",2016)</f>
        <v>59694</v>
      </c>
      <c r="Q9" s="28">
        <f ca="1" t="shared" si="1"/>
        <v>284355</v>
      </c>
    </row>
    <row r="10" spans="3:17">
      <c r="C10" s="18" t="s">
        <v>51</v>
      </c>
      <c r="D10" s="19">
        <f ca="1">GETPIVOTDATA("Cantidad",Numerador!$A$7,"Depto","Chiquimula","Año",2012)</f>
        <v>29420</v>
      </c>
      <c r="E10" s="19">
        <f ca="1">GETPIVOTDATA("Cantidad",Numerador!$A$7,"Depto","Chiquimula","Año",2013)</f>
        <v>28632</v>
      </c>
      <c r="F10" s="19">
        <f ca="1">GETPIVOTDATA("Cantidad",Numerador!$A$7,"Depto","Chiquimula","Año",2014)</f>
        <v>28318</v>
      </c>
      <c r="G10" s="19">
        <f ca="1">GETPIVOTDATA("Cantidad",Numerador!$A$7,"Depto","Chiquimula","Año",2015)</f>
        <v>28456</v>
      </c>
      <c r="H10" s="19">
        <f ca="1">GETPIVOTDATA("Cantidad",Numerador!$A$7,"Depto","Chiquimula","Año",2016)</f>
        <v>27583</v>
      </c>
      <c r="I10" s="19">
        <f ca="1" t="shared" si="0"/>
        <v>142409</v>
      </c>
      <c r="K10" s="18" t="s">
        <v>51</v>
      </c>
      <c r="L10" s="28">
        <f ca="1">GETPIVOTDATA("Cantidad",Denominador!$A$7,"Depto","Chiquimula","Año",2012)</f>
        <v>32116</v>
      </c>
      <c r="M10" s="28">
        <f ca="1">GETPIVOTDATA("Cantidad",Denominador!$A$7,"Depto","Chiquimula","Año",2013)</f>
        <v>32717</v>
      </c>
      <c r="N10" s="28">
        <f ca="1">GETPIVOTDATA("Cantidad",Denominador!$A$7,"Depto","Chiquimula","Año",2014)</f>
        <v>32907</v>
      </c>
      <c r="O10" s="28">
        <f ca="1">GETPIVOTDATA("Cantidad",Denominador!$A$7,"Depto","Chiquimula","Año",2015)</f>
        <v>33352</v>
      </c>
      <c r="P10" s="28">
        <f ca="1">GETPIVOTDATA("Cantidad",Denominador!$A$7,"Depto","Chiquimula","Año",2016)</f>
        <v>33757</v>
      </c>
      <c r="Q10" s="28">
        <f ca="1" t="shared" si="1"/>
        <v>164849</v>
      </c>
    </row>
    <row r="11" spans="3:17">
      <c r="C11" s="18" t="s">
        <v>52</v>
      </c>
      <c r="D11" s="19">
        <f ca="1">GETPIVOTDATA("Cantidad",Numerador!$A$7,"Depto","El Progreso","Año",2012)</f>
        <v>12003</v>
      </c>
      <c r="E11" s="19">
        <f ca="1">GETPIVOTDATA("Cantidad",Numerador!$A$7,"Depto","El Progreso","Año",2013)</f>
        <v>11515</v>
      </c>
      <c r="F11" s="19">
        <f ca="1">GETPIVOTDATA("Cantidad",Numerador!$A$7,"Depto","El Progreso","Año",2014)</f>
        <v>11178</v>
      </c>
      <c r="G11" s="19">
        <f ca="1">GETPIVOTDATA("Cantidad",Numerador!$A$7,"Depto","El Progreso","Año",2015)</f>
        <v>10977</v>
      </c>
      <c r="H11" s="19">
        <f ca="1">GETPIVOTDATA("Cantidad",Numerador!$A$7,"Depto","El Progreso","Año",2016)</f>
        <v>10856</v>
      </c>
      <c r="I11" s="19">
        <f ca="1" t="shared" si="0"/>
        <v>56529</v>
      </c>
      <c r="K11" s="18" t="s">
        <v>52</v>
      </c>
      <c r="L11" s="28">
        <f ca="1">GETPIVOTDATA("Cantidad",Denominador!$A$7,"Depto","El Progreso","Año",2012)</f>
        <v>12122</v>
      </c>
      <c r="M11" s="28">
        <f ca="1">GETPIVOTDATA("Cantidad",Denominador!$A$7,"Depto","El Progreso","Año",2013)</f>
        <v>12193</v>
      </c>
      <c r="N11" s="28">
        <f ca="1">GETPIVOTDATA("Cantidad",Denominador!$A$7,"Depto","El Progreso","Año",2014)</f>
        <v>12235</v>
      </c>
      <c r="O11" s="28">
        <f ca="1">GETPIVOTDATA("Cantidad",Denominador!$A$7,"Depto","El Progreso","Año",2015)</f>
        <v>12341</v>
      </c>
      <c r="P11" s="28">
        <f ca="1">GETPIVOTDATA("Cantidad",Denominador!$A$7,"Depto","El Progreso","Año",2016)</f>
        <v>12428</v>
      </c>
      <c r="Q11" s="28">
        <f ca="1" t="shared" si="1"/>
        <v>61319</v>
      </c>
    </row>
    <row r="12" spans="3:17">
      <c r="C12" s="18" t="s">
        <v>53</v>
      </c>
      <c r="D12" s="19">
        <f ca="1">GETPIVOTDATA("Cantidad",Numerador!$A$7,"Depto","Escuintla","Año",2012)</f>
        <v>48584</v>
      </c>
      <c r="E12" s="19">
        <f ca="1">GETPIVOTDATA("Cantidad",Numerador!$A$7,"Depto","Escuintla","Año",2013)</f>
        <v>47512</v>
      </c>
      <c r="F12" s="19">
        <f ca="1">GETPIVOTDATA("Cantidad",Numerador!$A$7,"Depto","Escuintla","Año",2014)</f>
        <v>46483</v>
      </c>
      <c r="G12" s="19">
        <f ca="1">GETPIVOTDATA("Cantidad",Numerador!$A$7,"Depto","Escuintla","Año",2015)</f>
        <v>46541</v>
      </c>
      <c r="H12" s="19">
        <f ca="1">GETPIVOTDATA("Cantidad",Numerador!$A$7,"Depto","Escuintla","Año",2016)</f>
        <v>46670</v>
      </c>
      <c r="I12" s="19">
        <f ca="1" t="shared" si="0"/>
        <v>235790</v>
      </c>
      <c r="K12" s="18" t="s">
        <v>53</v>
      </c>
      <c r="L12" s="28">
        <f ca="1">GETPIVOTDATA("Cantidad",Denominador!$A$7,"Depto","Escuintla","Año",2012)</f>
        <v>51947</v>
      </c>
      <c r="M12" s="28">
        <f ca="1">GETPIVOTDATA("Cantidad",Denominador!$A$7,"Depto","Escuintla","Año",2013)</f>
        <v>52414</v>
      </c>
      <c r="N12" s="28">
        <f ca="1">GETPIVOTDATA("Cantidad",Denominador!$A$7,"Depto","Escuintla","Año",2014)</f>
        <v>52423</v>
      </c>
      <c r="O12" s="28">
        <f ca="1">GETPIVOTDATA("Cantidad",Denominador!$A$7,"Depto","Escuintla","Año",2015)</f>
        <v>52924</v>
      </c>
      <c r="P12" s="28">
        <f ca="1">GETPIVOTDATA("Cantidad",Denominador!$A$7,"Depto","Escuintla","Año",2016)</f>
        <v>53416</v>
      </c>
      <c r="Q12" s="28">
        <f ca="1" t="shared" si="1"/>
        <v>263124</v>
      </c>
    </row>
    <row r="13" spans="3:17">
      <c r="C13" s="18" t="s">
        <v>54</v>
      </c>
      <c r="D13" s="19">
        <f ca="1">GETPIVOTDATA("Cantidad",Numerador!$A$7,"Depto","Guatemala","Año",2012)</f>
        <v>197115</v>
      </c>
      <c r="E13" s="19">
        <f ca="1">GETPIVOTDATA("Cantidad",Numerador!$A$7,"Depto","Guatemala","Año",2013)</f>
        <v>193253</v>
      </c>
      <c r="F13" s="19">
        <f ca="1">GETPIVOTDATA("Cantidad",Numerador!$A$7,"Depto","Guatemala","Año",2014)</f>
        <v>191688</v>
      </c>
      <c r="G13" s="19">
        <f ca="1">GETPIVOTDATA("Cantidad",Numerador!$A$7,"Depto","Guatemala","Año",2015)</f>
        <v>192638</v>
      </c>
      <c r="H13" s="19">
        <f ca="1">GETPIVOTDATA("Cantidad",Numerador!$A$7,"Depto","Guatemala","Año",2016)</f>
        <v>193464</v>
      </c>
      <c r="I13" s="19">
        <f ca="1" t="shared" si="0"/>
        <v>968158</v>
      </c>
      <c r="K13" s="18" t="s">
        <v>54</v>
      </c>
      <c r="L13" s="28">
        <f ca="1">GETPIVOTDATA("Cantidad",Denominador!$A$7,"Depto","Guatemala","Año",2012)</f>
        <v>211210</v>
      </c>
      <c r="M13" s="28">
        <f ca="1">GETPIVOTDATA("Cantidad",Denominador!$A$7,"Depto","Guatemala","Año",2013)</f>
        <v>212590</v>
      </c>
      <c r="N13" s="28">
        <f ca="1">GETPIVOTDATA("Cantidad",Denominador!$A$7,"Depto","Guatemala","Año",2014)</f>
        <v>208436</v>
      </c>
      <c r="O13" s="28">
        <f ca="1">GETPIVOTDATA("Cantidad",Denominador!$A$7,"Depto","Guatemala","Año",2015)</f>
        <v>207719</v>
      </c>
      <c r="P13" s="28">
        <f ca="1">GETPIVOTDATA("Cantidad",Denominador!$A$7,"Depto","Guatemala","Año",2016)</f>
        <v>206874</v>
      </c>
      <c r="Q13" s="28">
        <f ca="1" t="shared" si="1"/>
        <v>1046829</v>
      </c>
    </row>
    <row r="14" spans="3:17">
      <c r="C14" s="18" t="s">
        <v>55</v>
      </c>
      <c r="D14" s="19">
        <f ca="1">GETPIVOTDATA("Cantidad",Numerador!$A$7,"Depto","Huehuetenango","Año",2012)</f>
        <v>92683</v>
      </c>
      <c r="E14" s="19">
        <f ca="1">GETPIVOTDATA("Cantidad",Numerador!$A$7,"Depto","Huehuetenango","Año",2013)</f>
        <v>90458</v>
      </c>
      <c r="F14" s="19">
        <f ca="1">GETPIVOTDATA("Cantidad",Numerador!$A$7,"Depto","Huehuetenango","Año",2014)</f>
        <v>88786</v>
      </c>
      <c r="G14" s="19">
        <f ca="1">GETPIVOTDATA("Cantidad",Numerador!$A$7,"Depto","Huehuetenango","Año",2015)</f>
        <v>87662</v>
      </c>
      <c r="H14" s="19">
        <f ca="1">GETPIVOTDATA("Cantidad",Numerador!$A$7,"Depto","Huehuetenango","Año",2016)</f>
        <v>85323</v>
      </c>
      <c r="I14" s="19">
        <f ca="1" t="shared" si="0"/>
        <v>444912</v>
      </c>
      <c r="K14" s="18" t="s">
        <v>55</v>
      </c>
      <c r="L14" s="28">
        <f ca="1">GETPIVOTDATA("Cantidad",Denominador!$A$7,"Depto","Huehuetenango","Año",2012)</f>
        <v>100102</v>
      </c>
      <c r="M14" s="28">
        <f ca="1">GETPIVOTDATA("Cantidad",Denominador!$A$7,"Depto","Huehuetenango","Año",2013)</f>
        <v>102270</v>
      </c>
      <c r="N14" s="28">
        <f ca="1">GETPIVOTDATA("Cantidad",Denominador!$A$7,"Depto","Huehuetenango","Año",2014)</f>
        <v>105510</v>
      </c>
      <c r="O14" s="28">
        <f ca="1">GETPIVOTDATA("Cantidad",Denominador!$A$7,"Depto","Huehuetenango","Año",2015)</f>
        <v>108051</v>
      </c>
      <c r="P14" s="28">
        <f ca="1">GETPIVOTDATA("Cantidad",Denominador!$A$7,"Depto","Huehuetenango","Año",2016)</f>
        <v>109765</v>
      </c>
      <c r="Q14" s="28">
        <f ca="1" t="shared" si="1"/>
        <v>525698</v>
      </c>
    </row>
    <row r="15" spans="3:17">
      <c r="C15" s="18" t="s">
        <v>56</v>
      </c>
      <c r="D15" s="19">
        <f ca="1">GETPIVOTDATA("Cantidad",Numerador!$A$7,"Depto","Izabal","Año",2012)</f>
        <v>30444</v>
      </c>
      <c r="E15" s="19">
        <f ca="1">GETPIVOTDATA("Cantidad",Numerador!$A$7,"Depto","Izabal","Año",2013)</f>
        <v>29570</v>
      </c>
      <c r="F15" s="19">
        <f ca="1">GETPIVOTDATA("Cantidad",Numerador!$A$7,"Depto","Izabal","Año",2014)</f>
        <v>27991</v>
      </c>
      <c r="G15" s="19">
        <f ca="1">GETPIVOTDATA("Cantidad",Numerador!$A$7,"Depto","Izabal","Año",2015)</f>
        <v>27670</v>
      </c>
      <c r="H15" s="19">
        <f ca="1">GETPIVOTDATA("Cantidad",Numerador!$A$7,"Depto","Izabal","Año",2016)</f>
        <v>27096</v>
      </c>
      <c r="I15" s="19">
        <f ca="1" t="shared" si="0"/>
        <v>142771</v>
      </c>
      <c r="K15" s="18" t="s">
        <v>56</v>
      </c>
      <c r="L15" s="28">
        <f ca="1">GETPIVOTDATA("Cantidad",Denominador!$A$7,"Depto","Izabal","Año",2012)</f>
        <v>34793</v>
      </c>
      <c r="M15" s="28">
        <f ca="1">GETPIVOTDATA("Cantidad",Denominador!$A$7,"Depto","Izabal","Año",2013)</f>
        <v>35355</v>
      </c>
      <c r="N15" s="28">
        <f ca="1">GETPIVOTDATA("Cantidad",Denominador!$A$7,"Depto","Izabal","Año",2014)</f>
        <v>35254</v>
      </c>
      <c r="O15" s="28">
        <f ca="1">GETPIVOTDATA("Cantidad",Denominador!$A$7,"Depto","Izabal","Año",2015)</f>
        <v>35666</v>
      </c>
      <c r="P15" s="28">
        <f ca="1">GETPIVOTDATA("Cantidad",Denominador!$A$7,"Depto","Izabal","Año",2016)</f>
        <v>36104</v>
      </c>
      <c r="Q15" s="28">
        <f ca="1" t="shared" si="1"/>
        <v>177172</v>
      </c>
    </row>
    <row r="16" spans="3:17">
      <c r="C16" s="18" t="s">
        <v>57</v>
      </c>
      <c r="D16" s="19">
        <f ca="1">GETPIVOTDATA("Cantidad",Numerador!$A$7,"Depto","Jalapa","Año",2012)</f>
        <v>25353</v>
      </c>
      <c r="E16" s="19">
        <f ca="1">GETPIVOTDATA("Cantidad",Numerador!$A$7,"Depto","Jalapa","Año",2013)</f>
        <v>24803</v>
      </c>
      <c r="F16" s="19">
        <f ca="1">GETPIVOTDATA("Cantidad",Numerador!$A$7,"Depto","Jalapa","Año",2014)</f>
        <v>24130</v>
      </c>
      <c r="G16" s="19">
        <f ca="1">GETPIVOTDATA("Cantidad",Numerador!$A$7,"Depto","Jalapa","Año",2015)</f>
        <v>24119</v>
      </c>
      <c r="H16" s="19">
        <f ca="1">GETPIVOTDATA("Cantidad",Numerador!$A$7,"Depto","Jalapa","Año",2016)</f>
        <v>23446</v>
      </c>
      <c r="I16" s="19">
        <f ca="1" t="shared" si="0"/>
        <v>121851</v>
      </c>
      <c r="K16" s="18" t="s">
        <v>57</v>
      </c>
      <c r="L16" s="28">
        <f ca="1">GETPIVOTDATA("Cantidad",Denominador!$A$7,"Depto","Jalapa","Año",2012)</f>
        <v>28701</v>
      </c>
      <c r="M16" s="28">
        <f ca="1">GETPIVOTDATA("Cantidad",Denominador!$A$7,"Depto","Jalapa","Año",2013)</f>
        <v>29469</v>
      </c>
      <c r="N16" s="28">
        <f ca="1">GETPIVOTDATA("Cantidad",Denominador!$A$7,"Depto","Jalapa","Año",2014)</f>
        <v>30404</v>
      </c>
      <c r="O16" s="28">
        <f ca="1">GETPIVOTDATA("Cantidad",Denominador!$A$7,"Depto","Jalapa","Año",2015)</f>
        <v>31137</v>
      </c>
      <c r="P16" s="28">
        <f ca="1">GETPIVOTDATA("Cantidad",Denominador!$A$7,"Depto","Jalapa","Año",2016)</f>
        <v>31787</v>
      </c>
      <c r="Q16" s="28">
        <f ca="1" t="shared" si="1"/>
        <v>151498</v>
      </c>
    </row>
    <row r="17" spans="3:17">
      <c r="C17" s="18" t="s">
        <v>58</v>
      </c>
      <c r="D17" s="19">
        <f ca="1">GETPIVOTDATA("Cantidad",Numerador!$A$7,"Depto","Jutiapa","Año",2012)</f>
        <v>34993</v>
      </c>
      <c r="E17" s="19">
        <f ca="1">GETPIVOTDATA("Cantidad",Numerador!$A$7,"Depto","Jutiapa","Año",2013)</f>
        <v>33729</v>
      </c>
      <c r="F17" s="19">
        <f ca="1">GETPIVOTDATA("Cantidad",Numerador!$A$7,"Depto","Jutiapa","Año",2014)</f>
        <v>32465</v>
      </c>
      <c r="G17" s="19">
        <f ca="1">GETPIVOTDATA("Cantidad",Numerador!$A$7,"Depto","Jutiapa","Año",2015)</f>
        <v>31658</v>
      </c>
      <c r="H17" s="19">
        <f ca="1">GETPIVOTDATA("Cantidad",Numerador!$A$7,"Depto","Jutiapa","Año",2016)</f>
        <v>31141</v>
      </c>
      <c r="I17" s="19">
        <f ca="1" t="shared" si="0"/>
        <v>163986</v>
      </c>
      <c r="K17" s="18" t="s">
        <v>58</v>
      </c>
      <c r="L17" s="28">
        <f ca="1">GETPIVOTDATA("Cantidad",Denominador!$A$7,"Depto","Jutiapa","Año",2012)</f>
        <v>36137</v>
      </c>
      <c r="M17" s="28">
        <f ca="1">GETPIVOTDATA("Cantidad",Denominador!$A$7,"Depto","Jutiapa","Año",2013)</f>
        <v>36446</v>
      </c>
      <c r="N17" s="28">
        <f ca="1">GETPIVOTDATA("Cantidad",Denominador!$A$7,"Depto","Jutiapa","Año",2014)</f>
        <v>38244</v>
      </c>
      <c r="O17" s="28">
        <f ca="1">GETPIVOTDATA("Cantidad",Denominador!$A$7,"Depto","Jutiapa","Año",2015)</f>
        <v>38959</v>
      </c>
      <c r="P17" s="28">
        <f ca="1">GETPIVOTDATA("Cantidad",Denominador!$A$7,"Depto","Jutiapa","Año",2016)</f>
        <v>39547</v>
      </c>
      <c r="Q17" s="28">
        <f ca="1" t="shared" si="1"/>
        <v>189333</v>
      </c>
    </row>
    <row r="18" spans="3:17">
      <c r="C18" s="18" t="s">
        <v>59</v>
      </c>
      <c r="D18" s="19">
        <f ca="1">GETPIVOTDATA("Cantidad",Numerador!$A$7,"Depto","Petén","Año",2012)</f>
        <v>41975</v>
      </c>
      <c r="E18" s="19">
        <f ca="1">GETPIVOTDATA("Cantidad",Numerador!$A$7,"Depto","Petén","Año",2013)</f>
        <v>40019</v>
      </c>
      <c r="F18" s="19">
        <f ca="1">GETPIVOTDATA("Cantidad",Numerador!$A$7,"Depto","Petén","Año",2014)</f>
        <v>38581</v>
      </c>
      <c r="G18" s="19">
        <f ca="1">GETPIVOTDATA("Cantidad",Numerador!$A$7,"Depto","Petén","Año",2015)</f>
        <v>38596</v>
      </c>
      <c r="H18" s="19">
        <f ca="1">GETPIVOTDATA("Cantidad",Numerador!$A$7,"Depto","Petén","Año",2016)</f>
        <v>38437</v>
      </c>
      <c r="I18" s="19">
        <f ca="1" t="shared" si="0"/>
        <v>197608</v>
      </c>
      <c r="K18" s="18" t="s">
        <v>59</v>
      </c>
      <c r="L18" s="28">
        <f ca="1">GETPIVOTDATA("Cantidad",Denominador!$A$7,"Depto","Petén","Año",2012)</f>
        <v>57182</v>
      </c>
      <c r="M18" s="28">
        <f ca="1">GETPIVOTDATA("Cantidad",Denominador!$A$7,"Depto","Petén","Año",2013)</f>
        <v>59521</v>
      </c>
      <c r="N18" s="28">
        <f ca="1">GETPIVOTDATA("Cantidad",Denominador!$A$7,"Depto","Petén","Año",2014)</f>
        <v>62127</v>
      </c>
      <c r="O18" s="28">
        <f ca="1">GETPIVOTDATA("Cantidad",Denominador!$A$7,"Depto","Petén","Año",2015)</f>
        <v>64483</v>
      </c>
      <c r="P18" s="28">
        <f ca="1">GETPIVOTDATA("Cantidad",Denominador!$A$7,"Depto","Petén","Año",2016)</f>
        <v>66507</v>
      </c>
      <c r="Q18" s="28">
        <f ca="1" t="shared" si="1"/>
        <v>309820</v>
      </c>
    </row>
    <row r="19" spans="3:17">
      <c r="C19" s="18" t="s">
        <v>60</v>
      </c>
      <c r="D19" s="19">
        <f ca="1">GETPIVOTDATA("Cantidad",Numerador!$A$7,"Depto","Quetzaltenango","Año",2012)</f>
        <v>59543</v>
      </c>
      <c r="E19" s="19">
        <f ca="1">GETPIVOTDATA("Cantidad",Numerador!$A$7,"Depto","Quetzaltenango","Año",2013)</f>
        <v>58079</v>
      </c>
      <c r="F19" s="19">
        <f ca="1">GETPIVOTDATA("Cantidad",Numerador!$A$7,"Depto","Quetzaltenango","Año",2014)</f>
        <v>56212</v>
      </c>
      <c r="G19" s="19">
        <f ca="1">GETPIVOTDATA("Cantidad",Numerador!$A$7,"Depto","Quetzaltenango","Año",2015)</f>
        <v>54713</v>
      </c>
      <c r="H19" s="19">
        <f ca="1">GETPIVOTDATA("Cantidad",Numerador!$A$7,"Depto","Quetzaltenango","Año",2016)</f>
        <v>52953</v>
      </c>
      <c r="I19" s="19">
        <f ca="1" t="shared" si="0"/>
        <v>281500</v>
      </c>
      <c r="K19" s="18" t="s">
        <v>60</v>
      </c>
      <c r="L19" s="28">
        <f ca="1">GETPIVOTDATA("Cantidad",Denominador!$A$7,"Depto","Quetzaltenango","Año",2012)</f>
        <v>62290</v>
      </c>
      <c r="M19" s="28">
        <f ca="1">GETPIVOTDATA("Cantidad",Denominador!$A$7,"Depto","Quetzaltenango","Año",2013)</f>
        <v>63359</v>
      </c>
      <c r="N19" s="28">
        <f ca="1">GETPIVOTDATA("Cantidad",Denominador!$A$7,"Depto","Quetzaltenango","Año",2014)</f>
        <v>65847</v>
      </c>
      <c r="O19" s="28">
        <f ca="1">GETPIVOTDATA("Cantidad",Denominador!$A$7,"Depto","Quetzaltenango","Año",2015)</f>
        <v>67269</v>
      </c>
      <c r="P19" s="28">
        <f ca="1">GETPIVOTDATA("Cantidad",Denominador!$A$7,"Depto","Quetzaltenango","Año",2016)</f>
        <v>68482</v>
      </c>
      <c r="Q19" s="28">
        <f ca="1" t="shared" si="1"/>
        <v>327247</v>
      </c>
    </row>
    <row r="20" spans="3:17">
      <c r="C20" s="18" t="s">
        <v>61</v>
      </c>
      <c r="D20" s="19">
        <f ca="1">GETPIVOTDATA("Cantidad",Numerador!$A$7,"Depto","Quiché","Año",2012)</f>
        <v>75859</v>
      </c>
      <c r="E20" s="19">
        <f ca="1">GETPIVOTDATA("Cantidad",Numerador!$A$7,"Depto","Quiché","Año",2013)</f>
        <v>75049</v>
      </c>
      <c r="F20" s="19">
        <f ca="1">GETPIVOTDATA("Cantidad",Numerador!$A$7,"Depto","Quiché","Año",2014)</f>
        <v>73132</v>
      </c>
      <c r="G20" s="19">
        <f ca="1">GETPIVOTDATA("Cantidad",Numerador!$A$7,"Depto","Quiché","Año",2015)</f>
        <v>72493</v>
      </c>
      <c r="H20" s="19">
        <f ca="1">GETPIVOTDATA("Cantidad",Numerador!$A$7,"Depto","Quiché","Año",2016)</f>
        <v>70779</v>
      </c>
      <c r="I20" s="19">
        <f ca="1" t="shared" si="0"/>
        <v>367312</v>
      </c>
      <c r="K20" s="18" t="s">
        <v>61</v>
      </c>
      <c r="L20" s="28">
        <f ca="1">GETPIVOTDATA("Cantidad",Denominador!$A$7,"Depto","Quiché","Año",2012)</f>
        <v>90430</v>
      </c>
      <c r="M20" s="28">
        <f ca="1">GETPIVOTDATA("Cantidad",Denominador!$A$7,"Depto","Quiché","Año",2013)</f>
        <v>93496</v>
      </c>
      <c r="N20" s="28">
        <f ca="1">GETPIVOTDATA("Cantidad",Denominador!$A$7,"Depto","Quiché","Año",2014)</f>
        <v>97380</v>
      </c>
      <c r="O20" s="28">
        <f ca="1">GETPIVOTDATA("Cantidad",Denominador!$A$7,"Depto","Quiché","Año",2015)</f>
        <v>100438</v>
      </c>
      <c r="P20" s="28">
        <f ca="1">GETPIVOTDATA("Cantidad",Denominador!$A$7,"Depto","Quiché","Año",2016)</f>
        <v>103222</v>
      </c>
      <c r="Q20" s="28">
        <f ca="1" t="shared" si="1"/>
        <v>484966</v>
      </c>
    </row>
    <row r="21" spans="3:17">
      <c r="C21" s="18" t="s">
        <v>62</v>
      </c>
      <c r="D21" s="19">
        <f ca="1">GETPIVOTDATA("Cantidad",Numerador!$A$7,"Depto","Retalhuleu","Año",2012)</f>
        <v>23546</v>
      </c>
      <c r="E21" s="19">
        <f ca="1">GETPIVOTDATA("Cantidad",Numerador!$A$7,"Depto","Retalhuleu","Año",2013)</f>
        <v>22810</v>
      </c>
      <c r="F21" s="19">
        <f ca="1">GETPIVOTDATA("Cantidad",Numerador!$A$7,"Depto","Retalhuleu","Año",2014)</f>
        <v>22054</v>
      </c>
      <c r="G21" s="19">
        <f ca="1">GETPIVOTDATA("Cantidad",Numerador!$A$7,"Depto","Retalhuleu","Año",2015)</f>
        <v>21835</v>
      </c>
      <c r="H21" s="19">
        <f ca="1">GETPIVOTDATA("Cantidad",Numerador!$A$7,"Depto","Retalhuleu","Año",2016)</f>
        <v>21440</v>
      </c>
      <c r="I21" s="19">
        <f ca="1" t="shared" si="0"/>
        <v>111685</v>
      </c>
      <c r="K21" s="18" t="s">
        <v>62</v>
      </c>
      <c r="L21" s="28">
        <f ca="1">GETPIVOTDATA("Cantidad",Denominador!$A$7,"Depto","Retalhuleu","Año",2012)</f>
        <v>23814</v>
      </c>
      <c r="M21" s="28">
        <f ca="1">GETPIVOTDATA("Cantidad",Denominador!$A$7,"Depto","Retalhuleu","Año",2013)</f>
        <v>24051</v>
      </c>
      <c r="N21" s="28">
        <f ca="1">GETPIVOTDATA("Cantidad",Denominador!$A$7,"Depto","Retalhuleu","Año",2014)</f>
        <v>24595</v>
      </c>
      <c r="O21" s="28">
        <f ca="1">GETPIVOTDATA("Cantidad",Denominador!$A$7,"Depto","Retalhuleu","Año",2015)</f>
        <v>25019</v>
      </c>
      <c r="P21" s="28">
        <f ca="1">GETPIVOTDATA("Cantidad",Denominador!$A$7,"Depto","Retalhuleu","Año",2016)</f>
        <v>25425</v>
      </c>
      <c r="Q21" s="28">
        <f ca="1" t="shared" si="1"/>
        <v>122904</v>
      </c>
    </row>
    <row r="22" spans="3:17">
      <c r="C22" s="18" t="s">
        <v>63</v>
      </c>
      <c r="D22" s="19">
        <f ca="1">GETPIVOTDATA("Cantidad",Numerador!$A$7,"Depto","Sacatepéquez","Año",2012)</f>
        <v>21543</v>
      </c>
      <c r="E22" s="19">
        <f ca="1">GETPIVOTDATA("Cantidad",Numerador!$A$7,"Depto","Sacatepéquez","Año",2013)</f>
        <v>21072</v>
      </c>
      <c r="F22" s="19">
        <f ca="1">GETPIVOTDATA("Cantidad",Numerador!$A$7,"Depto","Sacatepéquez","Año",2014)</f>
        <v>20897</v>
      </c>
      <c r="G22" s="19">
        <f ca="1">GETPIVOTDATA("Cantidad",Numerador!$A$7,"Depto","Sacatepéquez","Año",2015)</f>
        <v>20890</v>
      </c>
      <c r="H22" s="19">
        <f ca="1">GETPIVOTDATA("Cantidad",Numerador!$A$7,"Depto","Sacatepéquez","Año",2016)</f>
        <v>20929</v>
      </c>
      <c r="I22" s="19">
        <f ca="1" t="shared" si="0"/>
        <v>105331</v>
      </c>
      <c r="K22" s="18" t="s">
        <v>63</v>
      </c>
      <c r="L22" s="28">
        <f ca="1">GETPIVOTDATA("Cantidad",Denominador!$A$7,"Depto","Sacatepéquez","Año",2012)</f>
        <v>24070</v>
      </c>
      <c r="M22" s="28">
        <f ca="1">GETPIVOTDATA("Cantidad",Denominador!$A$7,"Depto","Sacatepéquez","Año",2013)</f>
        <v>24422</v>
      </c>
      <c r="N22" s="28">
        <f ca="1">GETPIVOTDATA("Cantidad",Denominador!$A$7,"Depto","Sacatepéquez","Año",2014)</f>
        <v>25859</v>
      </c>
      <c r="O22" s="28">
        <f ca="1">GETPIVOTDATA("Cantidad",Denominador!$A$7,"Depto","Sacatepéquez","Año",2015)</f>
        <v>24640</v>
      </c>
      <c r="P22" s="28">
        <f ca="1">GETPIVOTDATA("Cantidad",Denominador!$A$7,"Depto","Sacatepéquez","Año",2016)</f>
        <v>24817</v>
      </c>
      <c r="Q22" s="28">
        <f ca="1" t="shared" si="1"/>
        <v>123808</v>
      </c>
    </row>
    <row r="23" spans="3:17">
      <c r="C23" s="18" t="s">
        <v>64</v>
      </c>
      <c r="D23" s="19">
        <f ca="1">GETPIVOTDATA("Cantidad",Numerador!$A$7,"Depto","San Marcos","Año",2012)</f>
        <v>82952</v>
      </c>
      <c r="E23" s="19">
        <f ca="1">GETPIVOTDATA("Cantidad",Numerador!$A$7,"Depto","San Marcos","Año",2013)</f>
        <v>81035</v>
      </c>
      <c r="F23" s="19">
        <f ca="1">GETPIVOTDATA("Cantidad",Numerador!$A$7,"Depto","San Marcos","Año",2014)</f>
        <v>79277</v>
      </c>
      <c r="G23" s="19">
        <f ca="1">GETPIVOTDATA("Cantidad",Numerador!$A$7,"Depto","San Marcos","Año",2015)</f>
        <v>77599</v>
      </c>
      <c r="H23" s="19">
        <f ca="1">GETPIVOTDATA("Cantidad",Numerador!$A$7,"Depto","San Marcos","Año",2016)</f>
        <v>75601</v>
      </c>
      <c r="I23" s="19">
        <f ca="1" t="shared" si="0"/>
        <v>396464</v>
      </c>
      <c r="K23" s="18" t="s">
        <v>64</v>
      </c>
      <c r="L23" s="28">
        <f ca="1">GETPIVOTDATA("Cantidad",Denominador!$A$7,"Depto","San Marcos","Año",2012)</f>
        <v>85080</v>
      </c>
      <c r="M23" s="28">
        <f ca="1">GETPIVOTDATA("Cantidad",Denominador!$A$7,"Depto","San Marcos","Año",2013)</f>
        <v>86079</v>
      </c>
      <c r="N23" s="28">
        <f ca="1">GETPIVOTDATA("Cantidad",Denominador!$A$7,"Depto","San Marcos","Año",2014)</f>
        <v>87305</v>
      </c>
      <c r="O23" s="28">
        <f ca="1">GETPIVOTDATA("Cantidad",Denominador!$A$7,"Depto","San Marcos","Año",2015)</f>
        <v>88539</v>
      </c>
      <c r="P23" s="28">
        <f ca="1">GETPIVOTDATA("Cantidad",Denominador!$A$7,"Depto","San Marcos","Año",2016)</f>
        <v>89687</v>
      </c>
      <c r="Q23" s="28">
        <f ca="1" t="shared" si="1"/>
        <v>436690</v>
      </c>
    </row>
    <row r="24" spans="3:17">
      <c r="C24" s="18" t="s">
        <v>65</v>
      </c>
      <c r="D24" s="19">
        <f ca="1">GETPIVOTDATA("Cantidad",Numerador!$A$7,"Depto","Santa Rosa","Año",2012)</f>
        <v>27197</v>
      </c>
      <c r="E24" s="19">
        <f ca="1">GETPIVOTDATA("Cantidad",Numerador!$A$7,"Depto","Santa Rosa","Año",2013)</f>
        <v>26313</v>
      </c>
      <c r="F24" s="19">
        <f ca="1">GETPIVOTDATA("Cantidad",Numerador!$A$7,"Depto","Santa Rosa","Año",2014)</f>
        <v>25463</v>
      </c>
      <c r="G24" s="19">
        <f ca="1">GETPIVOTDATA("Cantidad",Numerador!$A$7,"Depto","Santa Rosa","Año",2015)</f>
        <v>25310</v>
      </c>
      <c r="H24" s="19">
        <f ca="1">GETPIVOTDATA("Cantidad",Numerador!$A$7,"Depto","Santa Rosa","Año",2016)</f>
        <v>24955</v>
      </c>
      <c r="I24" s="19">
        <f ca="1" t="shared" si="0"/>
        <v>129238</v>
      </c>
      <c r="K24" s="18" t="s">
        <v>65</v>
      </c>
      <c r="L24" s="28">
        <f ca="1">GETPIVOTDATA("Cantidad",Denominador!$A$7,"Depto","Santa Rosa","Año",2012)</f>
        <v>27752</v>
      </c>
      <c r="M24" s="28">
        <f ca="1">GETPIVOTDATA("Cantidad",Denominador!$A$7,"Depto","Santa Rosa","Año",2013)</f>
        <v>27957</v>
      </c>
      <c r="N24" s="28">
        <f ca="1">GETPIVOTDATA("Cantidad",Denominador!$A$7,"Depto","Santa Rosa","Año",2014)</f>
        <v>28276</v>
      </c>
      <c r="O24" s="28">
        <f ca="1">GETPIVOTDATA("Cantidad",Denominador!$A$7,"Depto","Santa Rosa","Año",2015)</f>
        <v>28617</v>
      </c>
      <c r="P24" s="28">
        <f ca="1">GETPIVOTDATA("Cantidad",Denominador!$A$7,"Depto","Santa Rosa","Año",2016)</f>
        <v>28940</v>
      </c>
      <c r="Q24" s="28">
        <f ca="1" t="shared" si="1"/>
        <v>141542</v>
      </c>
    </row>
    <row r="25" spans="3:17">
      <c r="C25" s="18" t="s">
        <v>66</v>
      </c>
      <c r="D25" s="19">
        <f ca="1">GETPIVOTDATA("Cantidad",Numerador!$A$7,"Depto","Sololá","Año",2012)</f>
        <v>30783</v>
      </c>
      <c r="E25" s="19">
        <f ca="1">GETPIVOTDATA("Cantidad",Numerador!$A$7,"Depto","Sololá","Año",2013)</f>
        <v>30150</v>
      </c>
      <c r="F25" s="19">
        <f ca="1">GETPIVOTDATA("Cantidad",Numerador!$A$7,"Depto","Sololá","Año",2014)</f>
        <v>29717</v>
      </c>
      <c r="G25" s="19">
        <f ca="1">GETPIVOTDATA("Cantidad",Numerador!$A$7,"Depto","Sololá","Año",2015)</f>
        <v>29313</v>
      </c>
      <c r="H25" s="19">
        <f ca="1">GETPIVOTDATA("Cantidad",Numerador!$A$7,"Depto","Sololá","Año",2016)</f>
        <v>28649</v>
      </c>
      <c r="I25" s="19">
        <f ca="1" t="shared" si="0"/>
        <v>148612</v>
      </c>
      <c r="K25" s="18" t="s">
        <v>66</v>
      </c>
      <c r="L25" s="28">
        <f ca="1">GETPIVOTDATA("Cantidad",Denominador!$A$7,"Depto","Sololá","Año",2012)</f>
        <v>38419</v>
      </c>
      <c r="M25" s="28">
        <f ca="1">GETPIVOTDATA("Cantidad",Denominador!$A$7,"Depto","Sololá","Año",2013)</f>
        <v>39888</v>
      </c>
      <c r="N25" s="28">
        <f ca="1">GETPIVOTDATA("Cantidad",Denominador!$A$7,"Depto","Sololá","Año",2014)</f>
        <v>42206</v>
      </c>
      <c r="O25" s="28">
        <f ca="1">GETPIVOTDATA("Cantidad",Denominador!$A$7,"Depto","Sololá","Año",2015)</f>
        <v>43633</v>
      </c>
      <c r="P25" s="28">
        <f ca="1">GETPIVOTDATA("Cantidad",Denominador!$A$7,"Depto","Sololá","Año",2016)</f>
        <v>44780</v>
      </c>
      <c r="Q25" s="28">
        <f ca="1" t="shared" si="1"/>
        <v>208926</v>
      </c>
    </row>
    <row r="26" spans="3:17">
      <c r="C26" s="18" t="s">
        <v>67</v>
      </c>
      <c r="D26" s="19">
        <f ca="1">GETPIVOTDATA("Cantidad",Numerador!$A$7,"Depto","Suchitepéquez","Año",2012)</f>
        <v>39563</v>
      </c>
      <c r="E26" s="19">
        <f ca="1">GETPIVOTDATA("Cantidad",Numerador!$A$7,"Depto","Suchitepéquez","Año",2013)</f>
        <v>38987</v>
      </c>
      <c r="F26" s="19">
        <f ca="1">GETPIVOTDATA("Cantidad",Numerador!$A$7,"Depto","Suchitepéquez","Año",2014)</f>
        <v>37881</v>
      </c>
      <c r="G26" s="19">
        <f ca="1">GETPIVOTDATA("Cantidad",Numerador!$A$7,"Depto","Suchitepéquez","Año",2015)</f>
        <v>37574</v>
      </c>
      <c r="H26" s="19">
        <f ca="1">GETPIVOTDATA("Cantidad",Numerador!$A$7,"Depto","Suchitepéquez","Año",2016)</f>
        <v>37016</v>
      </c>
      <c r="I26" s="19">
        <f ca="1" t="shared" si="0"/>
        <v>191021</v>
      </c>
      <c r="K26" s="18" t="s">
        <v>67</v>
      </c>
      <c r="L26" s="28">
        <f ca="1">GETPIVOTDATA("Cantidad",Denominador!$A$7,"Depto","Suchitepéquez","Año",2012)</f>
        <v>42455</v>
      </c>
      <c r="M26" s="28">
        <f ca="1">GETPIVOTDATA("Cantidad",Denominador!$A$7,"Depto","Suchitepéquez","Año",2013)</f>
        <v>43072</v>
      </c>
      <c r="N26" s="28">
        <f ca="1">GETPIVOTDATA("Cantidad",Denominador!$A$7,"Depto","Suchitepéquez","Año",2014)</f>
        <v>43741</v>
      </c>
      <c r="O26" s="28">
        <f ca="1">GETPIVOTDATA("Cantidad",Denominador!$A$7,"Depto","Suchitepéquez","Año",2015)</f>
        <v>44489</v>
      </c>
      <c r="P26" s="28">
        <f ca="1">GETPIVOTDATA("Cantidad",Denominador!$A$7,"Depto","Suchitepéquez","Año",2016)</f>
        <v>45209</v>
      </c>
      <c r="Q26" s="28">
        <f ca="1" t="shared" si="1"/>
        <v>218966</v>
      </c>
    </row>
    <row r="27" spans="3:17">
      <c r="C27" s="18" t="s">
        <v>68</v>
      </c>
      <c r="D27" s="19">
        <f ca="1">GETPIVOTDATA("Cantidad",Numerador!$A$7,"Depto","Totonicapán","Año",2012)</f>
        <v>33588</v>
      </c>
      <c r="E27" s="19">
        <f ca="1">GETPIVOTDATA("Cantidad",Numerador!$A$7,"Depto","Totonicapán","Año",2013)</f>
        <v>32843</v>
      </c>
      <c r="F27" s="19">
        <f ca="1">GETPIVOTDATA("Cantidad",Numerador!$A$7,"Depto","Totonicapán","Año",2014)</f>
        <v>32047</v>
      </c>
      <c r="G27" s="19">
        <f ca="1">GETPIVOTDATA("Cantidad",Numerador!$A$7,"Depto","Totonicapán","Año",2015)</f>
        <v>30995</v>
      </c>
      <c r="H27" s="19">
        <f ca="1">GETPIVOTDATA("Cantidad",Numerador!$A$7,"Depto","Totonicapán","Año",2016)</f>
        <v>29985</v>
      </c>
      <c r="I27" s="19">
        <f ca="1" t="shared" si="0"/>
        <v>159458</v>
      </c>
      <c r="K27" s="18" t="s">
        <v>68</v>
      </c>
      <c r="L27" s="28">
        <f ca="1">GETPIVOTDATA("Cantidad",Denominador!$A$7,"Depto","Totonicapán","Año",2012)</f>
        <v>42226</v>
      </c>
      <c r="M27" s="28">
        <f ca="1">GETPIVOTDATA("Cantidad",Denominador!$A$7,"Depto","Totonicapán","Año",2013)</f>
        <v>43960</v>
      </c>
      <c r="N27" s="28">
        <f ca="1">GETPIVOTDATA("Cantidad",Denominador!$A$7,"Depto","Totonicapán","Año",2014)</f>
        <v>47394</v>
      </c>
      <c r="O27" s="28">
        <f ca="1">GETPIVOTDATA("Cantidad",Denominador!$A$7,"Depto","Totonicapán","Año",2015)</f>
        <v>49227</v>
      </c>
      <c r="P27" s="28">
        <f ca="1">GETPIVOTDATA("Cantidad",Denominador!$A$7,"Depto","Totonicapán","Año",2016)</f>
        <v>50750</v>
      </c>
      <c r="Q27" s="28">
        <f ca="1" t="shared" si="1"/>
        <v>233557</v>
      </c>
    </row>
    <row r="28" spans="3:17">
      <c r="C28" s="18" t="s">
        <v>69</v>
      </c>
      <c r="D28" s="19">
        <f ca="1">GETPIVOTDATA("Cantidad",Numerador!$A$7,"Depto","Zacapa","Año",2012)</f>
        <v>17157</v>
      </c>
      <c r="E28" s="19">
        <f ca="1">GETPIVOTDATA("Cantidad",Numerador!$A$7,"Depto","Zacapa","Año",2013)</f>
        <v>16638</v>
      </c>
      <c r="F28" s="19">
        <f ca="1">GETPIVOTDATA("Cantidad",Numerador!$A$7,"Depto","Zacapa","Año",2014)</f>
        <v>15986</v>
      </c>
      <c r="G28" s="19">
        <f ca="1">GETPIVOTDATA("Cantidad",Numerador!$A$7,"Depto","Zacapa","Año",2015)</f>
        <v>15680</v>
      </c>
      <c r="H28" s="19">
        <f ca="1">GETPIVOTDATA("Cantidad",Numerador!$A$7,"Depto","Zacapa","Año",2016)</f>
        <v>15531</v>
      </c>
      <c r="I28" s="19">
        <f ca="1" t="shared" si="0"/>
        <v>80992</v>
      </c>
      <c r="K28" s="18" t="s">
        <v>69</v>
      </c>
      <c r="L28" s="28">
        <f ca="1">GETPIVOTDATA("Cantidad",Denominador!$A$7,"Depto","Zacapa","Año",2012)</f>
        <v>17316</v>
      </c>
      <c r="M28" s="28">
        <f ca="1">GETPIVOTDATA("Cantidad",Denominador!$A$7,"Depto","Zacapa","Año",2013)</f>
        <v>17339</v>
      </c>
      <c r="N28" s="28">
        <f ca="1">GETPIVOTDATA("Cantidad",Denominador!$A$7,"Depto","Zacapa","Año",2014)</f>
        <v>16899</v>
      </c>
      <c r="O28" s="28">
        <f ca="1">GETPIVOTDATA("Cantidad",Denominador!$A$7,"Depto","Zacapa","Año",2015)</f>
        <v>16872</v>
      </c>
      <c r="P28" s="28">
        <f ca="1">GETPIVOTDATA("Cantidad",Denominador!$A$7,"Depto","Zacapa","Año",2016)</f>
        <v>16874</v>
      </c>
      <c r="Q28" s="28">
        <f ca="1" t="shared" si="1"/>
        <v>85300</v>
      </c>
    </row>
    <row r="29" spans="3:17">
      <c r="C29" s="20" t="s">
        <v>47</v>
      </c>
      <c r="D29" s="21">
        <f ca="1" t="shared" ref="D29:I29" si="2">SUM(D7:D28)</f>
        <v>1074773</v>
      </c>
      <c r="E29" s="21">
        <f ca="1" t="shared" si="2"/>
        <v>1050471</v>
      </c>
      <c r="F29" s="21">
        <f ca="1" t="shared" si="2"/>
        <v>1028252</v>
      </c>
      <c r="G29" s="21">
        <f ca="1" t="shared" si="2"/>
        <v>1020690</v>
      </c>
      <c r="H29" s="21">
        <f ca="1" t="shared" si="2"/>
        <v>1007103</v>
      </c>
      <c r="I29" s="21">
        <f ca="1" t="shared" si="2"/>
        <v>5181289</v>
      </c>
      <c r="K29" s="20" t="s">
        <v>47</v>
      </c>
      <c r="L29" s="29">
        <f ca="1" t="shared" ref="L29:Q29" si="3">SUM(L7:L28)</f>
        <v>1199009</v>
      </c>
      <c r="M29" s="29">
        <f ca="1" t="shared" si="3"/>
        <v>1222021</v>
      </c>
      <c r="N29" s="29">
        <f ca="1" t="shared" si="3"/>
        <v>1243533</v>
      </c>
      <c r="O29" s="29">
        <f ca="1" t="shared" si="3"/>
        <v>1263371</v>
      </c>
      <c r="P29" s="29">
        <f ca="1" t="shared" si="3"/>
        <v>1281709</v>
      </c>
      <c r="Q29" s="29">
        <f ca="1" t="shared" si="3"/>
        <v>6209643</v>
      </c>
    </row>
    <row r="31" ht="21" spans="3:3">
      <c r="C31" s="15" t="s">
        <v>89</v>
      </c>
    </row>
    <row r="33" spans="3:9">
      <c r="C33" s="16" t="s">
        <v>75</v>
      </c>
      <c r="D33" s="16">
        <v>2012</v>
      </c>
      <c r="E33" s="16">
        <v>2013</v>
      </c>
      <c r="F33" s="16">
        <v>2014</v>
      </c>
      <c r="G33" s="16">
        <v>2015</v>
      </c>
      <c r="H33" s="16">
        <v>2016</v>
      </c>
      <c r="I33" s="16" t="s">
        <v>47</v>
      </c>
    </row>
    <row r="34" spans="3:10">
      <c r="C34" s="18" t="s">
        <v>48</v>
      </c>
      <c r="D34" s="22">
        <f ca="1" t="shared" ref="D34:I34" si="4">D7/L7</f>
        <v>0.822827494251097</v>
      </c>
      <c r="E34" s="22">
        <f ca="1" t="shared" si="4"/>
        <v>0.794825182729259</v>
      </c>
      <c r="F34" s="22">
        <f ca="1" t="shared" si="4"/>
        <v>0.793572440817569</v>
      </c>
      <c r="G34" s="22">
        <f ca="1" t="shared" si="4"/>
        <v>0.785276131074462</v>
      </c>
      <c r="H34" s="22">
        <f ca="1" t="shared" si="4"/>
        <v>0.775486309578685</v>
      </c>
      <c r="I34" s="22">
        <f ca="1" t="shared" si="4"/>
        <v>0.794163258221773</v>
      </c>
      <c r="J34" s="30"/>
    </row>
    <row r="35" spans="3:10">
      <c r="C35" s="18" t="s">
        <v>49</v>
      </c>
      <c r="D35" s="22">
        <f ca="1" t="shared" ref="D35:D55" si="5">D8/L8</f>
        <v>0.896810904921653</v>
      </c>
      <c r="E35" s="22">
        <f ca="1" t="shared" ref="E35:E55" si="6">E8/M8</f>
        <v>0.849516797054763</v>
      </c>
      <c r="F35" s="22">
        <f ca="1" t="shared" ref="F35:F55" si="7">F8/N8</f>
        <v>0.820212240868707</v>
      </c>
      <c r="G35" s="22">
        <f ca="1" t="shared" ref="G35:G55" si="8">G8/O8</f>
        <v>0.800573830113958</v>
      </c>
      <c r="H35" s="22">
        <f ca="1" t="shared" ref="H35:H55" si="9">H8/P8</f>
        <v>0.76424088345118</v>
      </c>
      <c r="I35" s="22">
        <f ca="1" t="shared" ref="I35:I55" si="10">I8/Q8</f>
        <v>0.825219420794846</v>
      </c>
      <c r="J35" s="30"/>
    </row>
    <row r="36" spans="3:10">
      <c r="C36" s="18" t="s">
        <v>50</v>
      </c>
      <c r="D36" s="22">
        <f ca="1" t="shared" si="5"/>
        <v>0.821412639405204</v>
      </c>
      <c r="E36" s="22">
        <f ca="1" t="shared" si="6"/>
        <v>0.782501083971672</v>
      </c>
      <c r="F36" s="22">
        <f ca="1" t="shared" si="7"/>
        <v>0.746660121322627</v>
      </c>
      <c r="G36" s="22">
        <f ca="1" t="shared" si="8"/>
        <v>0.723589471703922</v>
      </c>
      <c r="H36" s="22">
        <f ca="1" t="shared" si="9"/>
        <v>0.701795825376085</v>
      </c>
      <c r="I36" s="22">
        <f ca="1" t="shared" si="10"/>
        <v>0.753617836858856</v>
      </c>
      <c r="J36" s="30"/>
    </row>
    <row r="37" spans="3:10">
      <c r="C37" s="18" t="s">
        <v>51</v>
      </c>
      <c r="D37" s="22">
        <f ca="1" t="shared" si="5"/>
        <v>0.916054303151077</v>
      </c>
      <c r="E37" s="22">
        <f ca="1" t="shared" si="6"/>
        <v>0.875141363816976</v>
      </c>
      <c r="F37" s="22">
        <f ca="1" t="shared" si="7"/>
        <v>0.860546388306439</v>
      </c>
      <c r="G37" s="22">
        <f ca="1" t="shared" si="8"/>
        <v>0.853202206764212</v>
      </c>
      <c r="H37" s="22">
        <f ca="1" t="shared" si="9"/>
        <v>0.817104600527298</v>
      </c>
      <c r="I37" s="22">
        <f ca="1" t="shared" si="10"/>
        <v>0.863875425389296</v>
      </c>
      <c r="J37" s="30"/>
    </row>
    <row r="38" spans="3:10">
      <c r="C38" s="18" t="s">
        <v>52</v>
      </c>
      <c r="D38" s="22">
        <f ca="1" t="shared" si="5"/>
        <v>0.990183138096024</v>
      </c>
      <c r="E38" s="22">
        <f ca="1" t="shared" si="6"/>
        <v>0.944394324612483</v>
      </c>
      <c r="F38" s="22">
        <f ca="1" t="shared" si="7"/>
        <v>0.913608500204332</v>
      </c>
      <c r="G38" s="22">
        <f ca="1" t="shared" si="8"/>
        <v>0.889474110687951</v>
      </c>
      <c r="H38" s="22">
        <f ca="1" t="shared" si="9"/>
        <v>0.873511425812681</v>
      </c>
      <c r="I38" s="22">
        <f ca="1" t="shared" si="10"/>
        <v>0.921883918524438</v>
      </c>
      <c r="J38" s="30"/>
    </row>
    <row r="39" spans="3:10">
      <c r="C39" s="18" t="s">
        <v>53</v>
      </c>
      <c r="D39" s="22">
        <f ca="1" t="shared" si="5"/>
        <v>0.935260939034015</v>
      </c>
      <c r="E39" s="22">
        <f ca="1" t="shared" si="6"/>
        <v>0.906475369176174</v>
      </c>
      <c r="F39" s="22">
        <f ca="1" t="shared" si="7"/>
        <v>0.886690956259657</v>
      </c>
      <c r="G39" s="22">
        <f ca="1" t="shared" si="8"/>
        <v>0.879393091980954</v>
      </c>
      <c r="H39" s="22">
        <f ca="1" t="shared" si="9"/>
        <v>0.873708252209076</v>
      </c>
      <c r="I39" s="22">
        <f ca="1" t="shared" si="10"/>
        <v>0.896117419923686</v>
      </c>
      <c r="J39" s="30"/>
    </row>
    <row r="40" spans="3:10">
      <c r="C40" s="18" t="s">
        <v>54</v>
      </c>
      <c r="D40" s="22">
        <f ca="1" t="shared" si="5"/>
        <v>0.933265470384925</v>
      </c>
      <c r="E40" s="22">
        <f ca="1" t="shared" si="6"/>
        <v>0.909040876805118</v>
      </c>
      <c r="F40" s="22">
        <f ca="1" t="shared" si="7"/>
        <v>0.91964919687578</v>
      </c>
      <c r="G40" s="22">
        <f ca="1" t="shared" si="8"/>
        <v>0.927397108593821</v>
      </c>
      <c r="H40" s="22">
        <f ca="1" t="shared" si="9"/>
        <v>0.935177934394849</v>
      </c>
      <c r="I40" s="22">
        <f ca="1" t="shared" si="10"/>
        <v>0.924848279900538</v>
      </c>
      <c r="J40" s="30"/>
    </row>
    <row r="41" spans="3:10">
      <c r="C41" s="18" t="s">
        <v>55</v>
      </c>
      <c r="D41" s="22">
        <f ca="1" t="shared" si="5"/>
        <v>0.925885596691375</v>
      </c>
      <c r="E41" s="22">
        <f ca="1" t="shared" si="6"/>
        <v>0.884501808937127</v>
      </c>
      <c r="F41" s="22">
        <f ca="1" t="shared" si="7"/>
        <v>0.841493697279879</v>
      </c>
      <c r="G41" s="22">
        <f ca="1" t="shared" si="8"/>
        <v>0.811302070318646</v>
      </c>
      <c r="H41" s="22">
        <f ca="1" t="shared" si="9"/>
        <v>0.777324283696989</v>
      </c>
      <c r="I41" s="22">
        <f ca="1" t="shared" si="10"/>
        <v>0.846326217714353</v>
      </c>
      <c r="J41" s="30"/>
    </row>
    <row r="42" spans="3:10">
      <c r="C42" s="18" t="s">
        <v>56</v>
      </c>
      <c r="D42" s="22">
        <f ca="1" t="shared" si="5"/>
        <v>0.875003592676688</v>
      </c>
      <c r="E42" s="22">
        <f ca="1" t="shared" si="6"/>
        <v>0.836373921651817</v>
      </c>
      <c r="F42" s="22">
        <f ca="1" t="shared" si="7"/>
        <v>0.793980824870937</v>
      </c>
      <c r="G42" s="22">
        <f ca="1" t="shared" si="8"/>
        <v>0.77580889362418</v>
      </c>
      <c r="H42" s="22">
        <f ca="1" t="shared" si="9"/>
        <v>0.750498559716375</v>
      </c>
      <c r="I42" s="22">
        <f ca="1" t="shared" si="10"/>
        <v>0.805832750095952</v>
      </c>
      <c r="J42" s="30"/>
    </row>
    <row r="43" spans="3:10">
      <c r="C43" s="18" t="s">
        <v>57</v>
      </c>
      <c r="D43" s="22">
        <f ca="1" t="shared" si="5"/>
        <v>0.883349012229539</v>
      </c>
      <c r="E43" s="22">
        <f ca="1" t="shared" si="6"/>
        <v>0.841664121619329</v>
      </c>
      <c r="F43" s="22">
        <f ca="1" t="shared" si="7"/>
        <v>0.793645572950928</v>
      </c>
      <c r="G43" s="22">
        <f ca="1" t="shared" si="8"/>
        <v>0.774608986093715</v>
      </c>
      <c r="H43" s="22">
        <f ca="1" t="shared" si="9"/>
        <v>0.73759713090257</v>
      </c>
      <c r="I43" s="22">
        <f ca="1" t="shared" si="10"/>
        <v>0.804307647625711</v>
      </c>
      <c r="J43" s="30"/>
    </row>
    <row r="44" spans="3:10">
      <c r="C44" s="18" t="s">
        <v>58</v>
      </c>
      <c r="D44" s="22">
        <f ca="1" t="shared" si="5"/>
        <v>0.968342695851897</v>
      </c>
      <c r="E44" s="22">
        <f ca="1" t="shared" si="6"/>
        <v>0.925451352686166</v>
      </c>
      <c r="F44" s="22">
        <f ca="1" t="shared" si="7"/>
        <v>0.848891329358854</v>
      </c>
      <c r="G44" s="22">
        <f ca="1" t="shared" si="8"/>
        <v>0.812597859287969</v>
      </c>
      <c r="H44" s="22">
        <f ca="1" t="shared" si="9"/>
        <v>0.787442789592131</v>
      </c>
      <c r="I44" s="22">
        <f ca="1" t="shared" si="10"/>
        <v>0.866124764304163</v>
      </c>
      <c r="J44" s="30"/>
    </row>
    <row r="45" spans="3:10">
      <c r="C45" s="18" t="s">
        <v>59</v>
      </c>
      <c r="D45" s="22">
        <f ca="1" t="shared" si="5"/>
        <v>0.734059669126648</v>
      </c>
      <c r="E45" s="22">
        <f ca="1" t="shared" si="6"/>
        <v>0.67235093496413</v>
      </c>
      <c r="F45" s="22">
        <f ca="1" t="shared" si="7"/>
        <v>0.621002140776152</v>
      </c>
      <c r="G45" s="22">
        <f ca="1" t="shared" si="8"/>
        <v>0.598545353038785</v>
      </c>
      <c r="H45" s="22">
        <f ca="1" t="shared" si="9"/>
        <v>0.577939164298495</v>
      </c>
      <c r="I45" s="22">
        <f ca="1" t="shared" si="10"/>
        <v>0.637815505777548</v>
      </c>
      <c r="J45" s="30"/>
    </row>
    <row r="46" spans="3:10">
      <c r="C46" s="18" t="s">
        <v>60</v>
      </c>
      <c r="D46" s="22">
        <f ca="1" t="shared" si="5"/>
        <v>0.955899823406646</v>
      </c>
      <c r="E46" s="22">
        <f ca="1" t="shared" si="6"/>
        <v>0.916665351410218</v>
      </c>
      <c r="F46" s="22">
        <f ca="1" t="shared" si="7"/>
        <v>0.853675945753034</v>
      </c>
      <c r="G46" s="22">
        <f ca="1" t="shared" si="8"/>
        <v>0.813346415139217</v>
      </c>
      <c r="H46" s="22">
        <f ca="1" t="shared" si="9"/>
        <v>0.773239683420461</v>
      </c>
      <c r="I46" s="22">
        <f ca="1" t="shared" si="10"/>
        <v>0.860206510678478</v>
      </c>
      <c r="J46" s="30"/>
    </row>
    <row r="47" spans="3:10">
      <c r="C47" s="18" t="s">
        <v>61</v>
      </c>
      <c r="D47" s="22">
        <f ca="1" t="shared" si="5"/>
        <v>0.838869844078293</v>
      </c>
      <c r="E47" s="22">
        <f ca="1" t="shared" si="6"/>
        <v>0.80269744160178</v>
      </c>
      <c r="F47" s="22">
        <f ca="1" t="shared" si="7"/>
        <v>0.750996097761347</v>
      </c>
      <c r="G47" s="22">
        <f ca="1" t="shared" si="8"/>
        <v>0.721768653298552</v>
      </c>
      <c r="H47" s="22">
        <f ca="1" t="shared" si="9"/>
        <v>0.685696847571254</v>
      </c>
      <c r="I47" s="22">
        <f ca="1" t="shared" si="10"/>
        <v>0.757397425798922</v>
      </c>
      <c r="J47" s="30"/>
    </row>
    <row r="48" spans="3:10">
      <c r="C48" s="18" t="s">
        <v>62</v>
      </c>
      <c r="D48" s="22">
        <f ca="1" t="shared" si="5"/>
        <v>0.988746115730243</v>
      </c>
      <c r="E48" s="22">
        <f ca="1" t="shared" si="6"/>
        <v>0.948401313874683</v>
      </c>
      <c r="F48" s="22">
        <f ca="1" t="shared" si="7"/>
        <v>0.89668631835739</v>
      </c>
      <c r="G48" s="22">
        <f ca="1" t="shared" si="8"/>
        <v>0.87273672009273</v>
      </c>
      <c r="H48" s="22">
        <f ca="1" t="shared" si="9"/>
        <v>0.843264503441495</v>
      </c>
      <c r="I48" s="22">
        <f ca="1" t="shared" si="10"/>
        <v>0.908717372908937</v>
      </c>
      <c r="J48" s="30"/>
    </row>
    <row r="49" spans="3:10">
      <c r="C49" s="18" t="s">
        <v>63</v>
      </c>
      <c r="D49" s="22">
        <f ca="1" t="shared" si="5"/>
        <v>0.89501454092231</v>
      </c>
      <c r="E49" s="22">
        <f ca="1" t="shared" si="6"/>
        <v>0.862828597166489</v>
      </c>
      <c r="F49" s="22">
        <f ca="1" t="shared" si="7"/>
        <v>0.80811322943656</v>
      </c>
      <c r="G49" s="22">
        <f ca="1" t="shared" si="8"/>
        <v>0.847808441558442</v>
      </c>
      <c r="H49" s="22">
        <f ca="1" t="shared" si="9"/>
        <v>0.843333199016803</v>
      </c>
      <c r="I49" s="22">
        <f ca="1" t="shared" si="10"/>
        <v>0.850760855518222</v>
      </c>
      <c r="J49" s="30"/>
    </row>
    <row r="50" spans="3:10">
      <c r="C50" s="18" t="s">
        <v>64</v>
      </c>
      <c r="D50" s="22">
        <f ca="1" t="shared" si="5"/>
        <v>0.97498824635637</v>
      </c>
      <c r="E50" s="22">
        <f ca="1" t="shared" si="6"/>
        <v>0.941402664993785</v>
      </c>
      <c r="F50" s="22">
        <f ca="1" t="shared" si="7"/>
        <v>0.908046503636676</v>
      </c>
      <c r="G50" s="22">
        <f ca="1" t="shared" si="8"/>
        <v>0.876438631563492</v>
      </c>
      <c r="H50" s="22">
        <f ca="1" t="shared" si="9"/>
        <v>0.842942678426082</v>
      </c>
      <c r="I50" s="22">
        <f ca="1" t="shared" si="10"/>
        <v>0.907884311525338</v>
      </c>
      <c r="J50" s="30"/>
    </row>
    <row r="51" spans="3:10">
      <c r="C51" s="18" t="s">
        <v>65</v>
      </c>
      <c r="D51" s="22">
        <f ca="1" t="shared" si="5"/>
        <v>0.980001441337561</v>
      </c>
      <c r="E51" s="22">
        <f ca="1" t="shared" si="6"/>
        <v>0.941195407232536</v>
      </c>
      <c r="F51" s="22">
        <f ca="1" t="shared" si="7"/>
        <v>0.900516338944688</v>
      </c>
      <c r="G51" s="22">
        <f ca="1" t="shared" si="8"/>
        <v>0.884439319285739</v>
      </c>
      <c r="H51" s="22">
        <f ca="1" t="shared" si="9"/>
        <v>0.862301313061507</v>
      </c>
      <c r="I51" s="22">
        <f ca="1" t="shared" si="10"/>
        <v>0.913071738423931</v>
      </c>
      <c r="J51" s="30"/>
    </row>
    <row r="52" spans="3:10">
      <c r="C52" s="18" t="s">
        <v>66</v>
      </c>
      <c r="D52" s="22">
        <f ca="1" t="shared" si="5"/>
        <v>0.801244176058721</v>
      </c>
      <c r="E52" s="22">
        <f ca="1" t="shared" si="6"/>
        <v>0.75586642599278</v>
      </c>
      <c r="F52" s="22">
        <f ca="1" t="shared" si="7"/>
        <v>0.704094204615457</v>
      </c>
      <c r="G52" s="22">
        <f ca="1" t="shared" si="8"/>
        <v>0.671808035202714</v>
      </c>
      <c r="H52" s="22">
        <f ca="1" t="shared" si="9"/>
        <v>0.639772219740956</v>
      </c>
      <c r="I52" s="22">
        <f ca="1" t="shared" si="10"/>
        <v>0.711314053779807</v>
      </c>
      <c r="J52" s="30"/>
    </row>
    <row r="53" spans="3:10">
      <c r="C53" s="18" t="s">
        <v>67</v>
      </c>
      <c r="D53" s="22">
        <f ca="1" t="shared" si="5"/>
        <v>0.931880814980568</v>
      </c>
      <c r="E53" s="22">
        <f ca="1" t="shared" si="6"/>
        <v>0.905158803863299</v>
      </c>
      <c r="F53" s="22">
        <f ca="1" t="shared" si="7"/>
        <v>0.86602958322855</v>
      </c>
      <c r="G53" s="22">
        <f ca="1" t="shared" si="8"/>
        <v>0.84456832025894</v>
      </c>
      <c r="H53" s="22">
        <f ca="1" t="shared" si="9"/>
        <v>0.818775022672477</v>
      </c>
      <c r="I53" s="22">
        <f ca="1" t="shared" si="10"/>
        <v>0.872377446726889</v>
      </c>
      <c r="J53" s="30"/>
    </row>
    <row r="54" spans="3:10">
      <c r="C54" s="18" t="s">
        <v>68</v>
      </c>
      <c r="D54" s="22">
        <f ca="1" t="shared" si="5"/>
        <v>0.795434092739071</v>
      </c>
      <c r="E54" s="22">
        <f ca="1" t="shared" si="6"/>
        <v>0.747111010009099</v>
      </c>
      <c r="F54" s="22">
        <f ca="1" t="shared" si="7"/>
        <v>0.676182639152635</v>
      </c>
      <c r="G54" s="22">
        <f ca="1" t="shared" si="8"/>
        <v>0.62963414386414</v>
      </c>
      <c r="H54" s="22">
        <f ca="1" t="shared" si="9"/>
        <v>0.590837438423645</v>
      </c>
      <c r="I54" s="22">
        <f ca="1" t="shared" si="10"/>
        <v>0.68273697641261</v>
      </c>
      <c r="J54" s="30"/>
    </row>
    <row r="55" spans="3:10">
      <c r="C55" s="18" t="s">
        <v>69</v>
      </c>
      <c r="D55" s="22">
        <f ca="1" t="shared" si="5"/>
        <v>0.990817740817741</v>
      </c>
      <c r="E55" s="22">
        <f ca="1" t="shared" si="6"/>
        <v>0.959570909510352</v>
      </c>
      <c r="F55" s="22">
        <f ca="1" t="shared" si="7"/>
        <v>0.945973134505</v>
      </c>
      <c r="G55" s="22">
        <f ca="1" t="shared" si="8"/>
        <v>0.929350403034614</v>
      </c>
      <c r="H55" s="22">
        <f ca="1" t="shared" si="9"/>
        <v>0.9204100983762</v>
      </c>
      <c r="I55" s="22">
        <f ca="1" t="shared" si="10"/>
        <v>0.949495896834701</v>
      </c>
      <c r="J55" s="30"/>
    </row>
    <row r="56" spans="3:10">
      <c r="C56" s="20" t="s">
        <v>47</v>
      </c>
      <c r="D56" s="23">
        <f ca="1" t="shared" ref="D56:I56" si="11">D29/L29</f>
        <v>0.89638443080911</v>
      </c>
      <c r="E56" s="23">
        <f ca="1" t="shared" si="11"/>
        <v>0.8596177970755</v>
      </c>
      <c r="F56" s="23">
        <f ca="1" t="shared" si="11"/>
        <v>0.826879544008884</v>
      </c>
      <c r="G56" s="23">
        <f ca="1" t="shared" si="11"/>
        <v>0.807909948859045</v>
      </c>
      <c r="H56" s="23">
        <f ca="1" t="shared" si="11"/>
        <v>0.785750119566922</v>
      </c>
      <c r="I56" s="23">
        <f ca="1" t="shared" si="11"/>
        <v>0.834394022329464</v>
      </c>
      <c r="J56" s="30"/>
    </row>
    <row r="60" ht="21" spans="3:3">
      <c r="C60" s="15" t="s">
        <v>90</v>
      </c>
    </row>
    <row r="61" spans="4:9">
      <c r="D61" s="24" t="s">
        <v>83</v>
      </c>
      <c r="E61" s="24" t="s">
        <v>91</v>
      </c>
      <c r="F61" s="24" t="s">
        <v>92</v>
      </c>
      <c r="G61" s="24" t="s">
        <v>93</v>
      </c>
      <c r="H61" s="24" t="s">
        <v>94</v>
      </c>
      <c r="I61" s="31" t="s">
        <v>95</v>
      </c>
    </row>
    <row r="62" spans="4:9">
      <c r="D62" s="10">
        <v>2012</v>
      </c>
      <c r="E62" s="5">
        <f ca="1">D29</f>
        <v>1074773</v>
      </c>
      <c r="F62" s="25">
        <f ca="1">L29</f>
        <v>1199009</v>
      </c>
      <c r="G62" s="26">
        <f ca="1">D56</f>
        <v>0.89638443080911</v>
      </c>
      <c r="H62" s="12">
        <f>Presupuesto!B30</f>
        <v>5277657965.84</v>
      </c>
      <c r="I62" s="12">
        <f ca="1">H62/E62</f>
        <v>4910.48618251482</v>
      </c>
    </row>
    <row r="63" spans="4:9">
      <c r="D63" s="10">
        <v>2013</v>
      </c>
      <c r="E63" s="5">
        <f ca="1">E29</f>
        <v>1050471</v>
      </c>
      <c r="F63" s="25">
        <f ca="1">M29</f>
        <v>1222021</v>
      </c>
      <c r="G63" s="26">
        <f ca="1">E56</f>
        <v>0.8596177970755</v>
      </c>
      <c r="H63" s="12">
        <f>Presupuesto!C30</f>
        <v>5694752944.96</v>
      </c>
      <c r="I63" s="12">
        <f ca="1" t="shared" ref="I63:I66" si="12">H63/E63</f>
        <v>5421.14246367582</v>
      </c>
    </row>
    <row r="64" spans="4:9">
      <c r="D64" s="10">
        <v>2014</v>
      </c>
      <c r="E64" s="5">
        <f ca="1">F29</f>
        <v>1028252</v>
      </c>
      <c r="F64" s="25">
        <f ca="1">N29</f>
        <v>1243533</v>
      </c>
      <c r="G64" s="26">
        <f ca="1">F56</f>
        <v>0.826879544008884</v>
      </c>
      <c r="H64" s="12">
        <f>Presupuesto!D30</f>
        <v>6327679279.7</v>
      </c>
      <c r="I64" s="12">
        <f ca="1" t="shared" si="12"/>
        <v>6153.8215142786</v>
      </c>
    </row>
    <row r="65" spans="4:9">
      <c r="D65" s="10">
        <v>2015</v>
      </c>
      <c r="E65" s="5">
        <f ca="1">G29</f>
        <v>1020690</v>
      </c>
      <c r="F65" s="25">
        <f ca="1">O29</f>
        <v>1263371</v>
      </c>
      <c r="G65" s="26">
        <f ca="1">G56</f>
        <v>0.807909948859045</v>
      </c>
      <c r="H65" s="12">
        <f>Presupuesto!D30</f>
        <v>6327679279.7</v>
      </c>
      <c r="I65" s="12">
        <f ca="1" t="shared" si="12"/>
        <v>6199.41341612047</v>
      </c>
    </row>
    <row r="66" spans="4:9">
      <c r="D66" s="10">
        <v>2016</v>
      </c>
      <c r="E66" s="5">
        <f ca="1">H29</f>
        <v>1007103</v>
      </c>
      <c r="F66" s="25">
        <f ca="1">P29</f>
        <v>1281709</v>
      </c>
      <c r="G66" s="26">
        <f ca="1">H56</f>
        <v>0.785750119566922</v>
      </c>
      <c r="H66" s="12">
        <f>Presupuesto!E30</f>
        <v>7035600349.53</v>
      </c>
      <c r="I66" s="12">
        <f ca="1" t="shared" si="12"/>
        <v>6985.97894111129</v>
      </c>
    </row>
  </sheetData>
  <conditionalFormatting sqref="D62:D66">
    <cfRule type="top10" dxfId="8" priority="1" percent="1" rank="10"/>
  </conditionalFormatting>
  <pageMargins left="0.699305555555556" right="0.699305555555556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N67:N91"/>
  <sheetViews>
    <sheetView showGridLines="0" topLeftCell="B1" workbookViewId="0">
      <selection activeCell="N72" sqref="N72"/>
    </sheetView>
  </sheetViews>
  <sheetFormatPr defaultColWidth="9" defaultRowHeight="15"/>
  <cols>
    <col min="1" max="1" width="5" customWidth="1"/>
  </cols>
  <sheetData>
    <row r="67" spans="14:14">
      <c r="N67" s="14"/>
    </row>
    <row r="68" spans="14:14">
      <c r="N68" s="14"/>
    </row>
    <row r="69" spans="14:14">
      <c r="N69" s="14"/>
    </row>
    <row r="70" spans="14:14">
      <c r="N70" s="14"/>
    </row>
    <row r="71" spans="14:14">
      <c r="N71" s="14"/>
    </row>
    <row r="72" spans="14:14">
      <c r="N72" s="14"/>
    </row>
    <row r="73" spans="14:14">
      <c r="N73" s="14"/>
    </row>
    <row r="74" spans="14:14">
      <c r="N74" s="14"/>
    </row>
    <row r="75" spans="14:14">
      <c r="N75" s="14"/>
    </row>
    <row r="76" spans="14:14">
      <c r="N76" s="14"/>
    </row>
    <row r="77" spans="14:14">
      <c r="N77" s="14"/>
    </row>
    <row r="78" spans="14:14">
      <c r="N78" s="14"/>
    </row>
    <row r="79" spans="14:14">
      <c r="N79" s="14"/>
    </row>
    <row r="80" spans="14:14">
      <c r="N80" s="14"/>
    </row>
    <row r="81" spans="14:14">
      <c r="N81" s="14"/>
    </row>
    <row r="82" spans="14:14">
      <c r="N82" s="14"/>
    </row>
    <row r="83" spans="14:14">
      <c r="N83" s="14"/>
    </row>
    <row r="84" spans="14:14">
      <c r="N84" s="14"/>
    </row>
    <row r="85" spans="14:14">
      <c r="N85" s="14"/>
    </row>
    <row r="86" spans="14:14">
      <c r="N86" s="14"/>
    </row>
    <row r="87" spans="14:14">
      <c r="N87" s="14"/>
    </row>
    <row r="88" spans="14:14">
      <c r="N88" s="14"/>
    </row>
    <row r="89" spans="14:14">
      <c r="N89" s="14"/>
    </row>
    <row r="90" spans="14:14">
      <c r="N90" s="14"/>
    </row>
    <row r="91" spans="14:14">
      <c r="N91" s="14"/>
    </row>
  </sheetData>
  <pageMargins left="0.699305555555556" right="0.699305555555556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11"/>
  <sheetViews>
    <sheetView workbookViewId="0">
      <selection activeCell="D8" sqref="D8"/>
    </sheetView>
  </sheetViews>
  <sheetFormatPr defaultColWidth="9" defaultRowHeight="15"/>
  <cols>
    <col min="2" max="2" width="15.4285714285714" customWidth="1"/>
    <col min="3" max="7" width="16.7142857142857" customWidth="1"/>
    <col min="8" max="8" width="12.1428571428571" customWidth="1"/>
  </cols>
  <sheetData>
    <row r="1" spans="2:9">
      <c r="B1" s="1" t="s">
        <v>79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3" t="s">
        <v>80</v>
      </c>
      <c r="I1" s="3" t="s">
        <v>42</v>
      </c>
    </row>
    <row r="2" spans="2:9">
      <c r="B2" s="4" t="s">
        <v>48</v>
      </c>
      <c r="C2" s="5">
        <v>85161</v>
      </c>
      <c r="D2" s="5">
        <v>84385</v>
      </c>
      <c r="E2" s="5">
        <v>83437</v>
      </c>
      <c r="F2" s="5">
        <v>83851</v>
      </c>
      <c r="G2" s="5">
        <v>84117</v>
      </c>
      <c r="H2" s="10" t="s">
        <v>81</v>
      </c>
      <c r="I2" s="11" t="s">
        <v>43</v>
      </c>
    </row>
    <row r="3" spans="2:9">
      <c r="B3" s="4" t="s">
        <v>49</v>
      </c>
      <c r="C3" s="5">
        <v>21119</v>
      </c>
      <c r="D3" s="5">
        <v>20306</v>
      </c>
      <c r="E3" s="5">
        <v>19941</v>
      </c>
      <c r="F3" s="5">
        <v>19811</v>
      </c>
      <c r="G3" s="5">
        <v>19239</v>
      </c>
      <c r="H3" s="10" t="s">
        <v>81</v>
      </c>
      <c r="I3" s="11" t="s">
        <v>43</v>
      </c>
    </row>
    <row r="4" spans="2:9">
      <c r="B4" s="4" t="s">
        <v>50</v>
      </c>
      <c r="C4" s="5">
        <v>44192</v>
      </c>
      <c r="D4" s="5">
        <v>43313</v>
      </c>
      <c r="E4" s="5">
        <v>42588</v>
      </c>
      <c r="F4" s="5">
        <v>42309</v>
      </c>
      <c r="G4" s="5">
        <v>41893</v>
      </c>
      <c r="H4" s="10" t="s">
        <v>81</v>
      </c>
      <c r="I4" s="11" t="s">
        <v>43</v>
      </c>
    </row>
    <row r="5" spans="2:9">
      <c r="B5" s="4" t="s">
        <v>51</v>
      </c>
      <c r="C5" s="5">
        <v>29420</v>
      </c>
      <c r="D5" s="5">
        <v>28632</v>
      </c>
      <c r="E5" s="5">
        <v>28318</v>
      </c>
      <c r="F5" s="5">
        <v>28456</v>
      </c>
      <c r="G5" s="5">
        <v>27583</v>
      </c>
      <c r="H5" s="10" t="s">
        <v>81</v>
      </c>
      <c r="I5" s="11" t="s">
        <v>43</v>
      </c>
    </row>
    <row r="6" spans="2:9">
      <c r="B6" s="4" t="s">
        <v>52</v>
      </c>
      <c r="C6" s="5">
        <v>12003</v>
      </c>
      <c r="D6" s="5">
        <v>11515</v>
      </c>
      <c r="E6" s="5">
        <v>11178</v>
      </c>
      <c r="F6" s="5">
        <v>10977</v>
      </c>
      <c r="G6" s="5">
        <v>10856</v>
      </c>
      <c r="H6" s="10" t="s">
        <v>81</v>
      </c>
      <c r="I6" s="11" t="s">
        <v>43</v>
      </c>
    </row>
    <row r="7" spans="2:9">
      <c r="B7" s="4" t="s">
        <v>53</v>
      </c>
      <c r="C7" s="5">
        <v>48584</v>
      </c>
      <c r="D7" s="5">
        <v>47512</v>
      </c>
      <c r="E7" s="5">
        <v>46483</v>
      </c>
      <c r="F7" s="5">
        <v>46541</v>
      </c>
      <c r="G7" s="5">
        <v>46670</v>
      </c>
      <c r="H7" s="10" t="s">
        <v>81</v>
      </c>
      <c r="I7" s="11" t="s">
        <v>43</v>
      </c>
    </row>
    <row r="8" spans="2:9">
      <c r="B8" s="4" t="s">
        <v>54</v>
      </c>
      <c r="C8" s="5">
        <v>197115</v>
      </c>
      <c r="D8" s="5">
        <v>193253</v>
      </c>
      <c r="E8" s="5">
        <v>191688</v>
      </c>
      <c r="F8" s="5">
        <v>192638</v>
      </c>
      <c r="G8" s="5">
        <v>193464</v>
      </c>
      <c r="H8" s="10" t="s">
        <v>81</v>
      </c>
      <c r="I8" s="11" t="s">
        <v>43</v>
      </c>
    </row>
    <row r="9" spans="2:9">
      <c r="B9" s="4" t="s">
        <v>55</v>
      </c>
      <c r="C9" s="5">
        <v>92683</v>
      </c>
      <c r="D9" s="5">
        <v>90458</v>
      </c>
      <c r="E9" s="5">
        <v>88786</v>
      </c>
      <c r="F9" s="5">
        <v>87662</v>
      </c>
      <c r="G9" s="5">
        <v>85323</v>
      </c>
      <c r="H9" s="10" t="s">
        <v>81</v>
      </c>
      <c r="I9" s="11" t="s">
        <v>43</v>
      </c>
    </row>
    <row r="10" spans="2:9">
      <c r="B10" s="4" t="s">
        <v>56</v>
      </c>
      <c r="C10" s="5">
        <v>30444</v>
      </c>
      <c r="D10" s="5">
        <v>29570</v>
      </c>
      <c r="E10" s="5">
        <v>27991</v>
      </c>
      <c r="F10" s="5">
        <v>27670</v>
      </c>
      <c r="G10" s="5">
        <v>27096</v>
      </c>
      <c r="H10" s="10" t="s">
        <v>81</v>
      </c>
      <c r="I10" s="11" t="s">
        <v>43</v>
      </c>
    </row>
    <row r="11" spans="2:9">
      <c r="B11" s="4" t="s">
        <v>57</v>
      </c>
      <c r="C11" s="5">
        <v>25353</v>
      </c>
      <c r="D11" s="5">
        <v>24803</v>
      </c>
      <c r="E11" s="5">
        <v>24130</v>
      </c>
      <c r="F11" s="5">
        <v>24119</v>
      </c>
      <c r="G11" s="5">
        <v>23446</v>
      </c>
      <c r="H11" s="10" t="s">
        <v>81</v>
      </c>
      <c r="I11" s="11" t="s">
        <v>43</v>
      </c>
    </row>
    <row r="12" spans="2:9">
      <c r="B12" s="4" t="s">
        <v>58</v>
      </c>
      <c r="C12" s="5">
        <v>34993</v>
      </c>
      <c r="D12" s="5">
        <v>33729</v>
      </c>
      <c r="E12" s="5">
        <v>32465</v>
      </c>
      <c r="F12" s="5">
        <v>31658</v>
      </c>
      <c r="G12" s="5">
        <v>31141</v>
      </c>
      <c r="H12" s="10" t="s">
        <v>81</v>
      </c>
      <c r="I12" s="11" t="s">
        <v>43</v>
      </c>
    </row>
    <row r="13" spans="2:9">
      <c r="B13" s="4" t="s">
        <v>59</v>
      </c>
      <c r="C13" s="5">
        <v>41975</v>
      </c>
      <c r="D13" s="5">
        <v>40019</v>
      </c>
      <c r="E13" s="5">
        <v>38581</v>
      </c>
      <c r="F13" s="5">
        <v>38596</v>
      </c>
      <c r="G13" s="5">
        <v>38437</v>
      </c>
      <c r="H13" s="10" t="s">
        <v>81</v>
      </c>
      <c r="I13" s="11" t="s">
        <v>43</v>
      </c>
    </row>
    <row r="14" spans="2:9">
      <c r="B14" s="4" t="s">
        <v>60</v>
      </c>
      <c r="C14" s="5">
        <v>59543</v>
      </c>
      <c r="D14" s="5">
        <v>58079</v>
      </c>
      <c r="E14" s="5">
        <v>56212</v>
      </c>
      <c r="F14" s="5">
        <v>54713</v>
      </c>
      <c r="G14" s="5">
        <v>52953</v>
      </c>
      <c r="H14" s="10" t="s">
        <v>81</v>
      </c>
      <c r="I14" s="11" t="s">
        <v>43</v>
      </c>
    </row>
    <row r="15" spans="2:9">
      <c r="B15" s="4" t="s">
        <v>61</v>
      </c>
      <c r="C15" s="5">
        <v>75859</v>
      </c>
      <c r="D15" s="5">
        <v>75049</v>
      </c>
      <c r="E15" s="5">
        <v>73132</v>
      </c>
      <c r="F15" s="5">
        <v>72493</v>
      </c>
      <c r="G15" s="5">
        <v>70779</v>
      </c>
      <c r="H15" s="10" t="s">
        <v>81</v>
      </c>
      <c r="I15" s="11" t="s">
        <v>43</v>
      </c>
    </row>
    <row r="16" spans="2:9">
      <c r="B16" s="4" t="s">
        <v>62</v>
      </c>
      <c r="C16" s="5">
        <v>23546</v>
      </c>
      <c r="D16" s="5">
        <v>22810</v>
      </c>
      <c r="E16" s="5">
        <v>22054</v>
      </c>
      <c r="F16" s="5">
        <v>21835</v>
      </c>
      <c r="G16" s="5">
        <v>21440</v>
      </c>
      <c r="H16" s="10" t="s">
        <v>81</v>
      </c>
      <c r="I16" s="11" t="s">
        <v>43</v>
      </c>
    </row>
    <row r="17" spans="2:9">
      <c r="B17" s="4" t="s">
        <v>63</v>
      </c>
      <c r="C17" s="5">
        <v>21543</v>
      </c>
      <c r="D17" s="5">
        <v>21072</v>
      </c>
      <c r="E17" s="5">
        <v>20897</v>
      </c>
      <c r="F17" s="5">
        <v>20890</v>
      </c>
      <c r="G17" s="5">
        <v>20929</v>
      </c>
      <c r="H17" s="10" t="s">
        <v>81</v>
      </c>
      <c r="I17" s="11" t="s">
        <v>43</v>
      </c>
    </row>
    <row r="18" spans="2:9">
      <c r="B18" s="4" t="s">
        <v>64</v>
      </c>
      <c r="C18" s="5">
        <v>82952</v>
      </c>
      <c r="D18" s="5">
        <v>81035</v>
      </c>
      <c r="E18" s="5">
        <v>79277</v>
      </c>
      <c r="F18" s="5">
        <v>77599</v>
      </c>
      <c r="G18" s="5">
        <v>75601</v>
      </c>
      <c r="H18" s="10" t="s">
        <v>81</v>
      </c>
      <c r="I18" s="11" t="s">
        <v>43</v>
      </c>
    </row>
    <row r="19" spans="2:9">
      <c r="B19" s="4" t="s">
        <v>65</v>
      </c>
      <c r="C19" s="5">
        <v>27197</v>
      </c>
      <c r="D19" s="5">
        <v>26313</v>
      </c>
      <c r="E19" s="5">
        <v>25463</v>
      </c>
      <c r="F19" s="5">
        <v>25310</v>
      </c>
      <c r="G19" s="5">
        <v>24955</v>
      </c>
      <c r="H19" s="10" t="s">
        <v>81</v>
      </c>
      <c r="I19" s="11" t="s">
        <v>43</v>
      </c>
    </row>
    <row r="20" spans="2:9">
      <c r="B20" s="4" t="s">
        <v>66</v>
      </c>
      <c r="C20" s="5">
        <v>30783</v>
      </c>
      <c r="D20" s="5">
        <v>30150</v>
      </c>
      <c r="E20" s="5">
        <v>29717</v>
      </c>
      <c r="F20" s="5">
        <v>29313</v>
      </c>
      <c r="G20" s="5">
        <v>28649</v>
      </c>
      <c r="H20" s="10" t="s">
        <v>81</v>
      </c>
      <c r="I20" s="11" t="s">
        <v>43</v>
      </c>
    </row>
    <row r="21" spans="2:9">
      <c r="B21" s="4" t="s">
        <v>67</v>
      </c>
      <c r="C21" s="5">
        <v>39563</v>
      </c>
      <c r="D21" s="5">
        <v>38987</v>
      </c>
      <c r="E21" s="5">
        <v>37881</v>
      </c>
      <c r="F21" s="5">
        <v>37574</v>
      </c>
      <c r="G21" s="5">
        <v>37016</v>
      </c>
      <c r="H21" s="10" t="s">
        <v>81</v>
      </c>
      <c r="I21" s="11" t="s">
        <v>43</v>
      </c>
    </row>
    <row r="22" spans="2:9">
      <c r="B22" s="4" t="s">
        <v>68</v>
      </c>
      <c r="C22" s="5">
        <v>33588</v>
      </c>
      <c r="D22" s="5">
        <v>32843</v>
      </c>
      <c r="E22" s="5">
        <v>32047</v>
      </c>
      <c r="F22" s="5">
        <v>30995</v>
      </c>
      <c r="G22" s="5">
        <v>29985</v>
      </c>
      <c r="H22" s="10" t="s">
        <v>81</v>
      </c>
      <c r="I22" s="11" t="s">
        <v>43</v>
      </c>
    </row>
    <row r="23" spans="2:9">
      <c r="B23" s="4" t="s">
        <v>69</v>
      </c>
      <c r="C23" s="5">
        <v>17157</v>
      </c>
      <c r="D23" s="5">
        <v>16638</v>
      </c>
      <c r="E23" s="5">
        <v>15986</v>
      </c>
      <c r="F23" s="5">
        <v>15680</v>
      </c>
      <c r="G23" s="5">
        <v>15531</v>
      </c>
      <c r="H23" s="10" t="s">
        <v>81</v>
      </c>
      <c r="I23" s="11" t="s">
        <v>43</v>
      </c>
    </row>
    <row r="24" spans="2:9">
      <c r="B24" s="4" t="s">
        <v>48</v>
      </c>
      <c r="C24" s="6">
        <v>103498</v>
      </c>
      <c r="D24" s="6">
        <v>106168</v>
      </c>
      <c r="E24" s="6">
        <v>105141</v>
      </c>
      <c r="F24" s="6">
        <v>106779</v>
      </c>
      <c r="G24" s="6">
        <v>108470</v>
      </c>
      <c r="H24" s="10" t="s">
        <v>82</v>
      </c>
      <c r="I24" s="11" t="s">
        <v>43</v>
      </c>
    </row>
    <row r="25" spans="2:9">
      <c r="B25" s="4" t="s">
        <v>49</v>
      </c>
      <c r="C25" s="6">
        <v>23549</v>
      </c>
      <c r="D25" s="6">
        <v>23903</v>
      </c>
      <c r="E25" s="6">
        <v>24312</v>
      </c>
      <c r="F25" s="6">
        <v>24746</v>
      </c>
      <c r="G25" s="6">
        <v>25174</v>
      </c>
      <c r="H25" s="10" t="s">
        <v>82</v>
      </c>
      <c r="I25" s="11" t="s">
        <v>43</v>
      </c>
    </row>
    <row r="26" spans="2:9">
      <c r="B26" s="4" t="s">
        <v>50</v>
      </c>
      <c r="C26" s="6">
        <v>53800</v>
      </c>
      <c r="D26" s="6">
        <v>55352</v>
      </c>
      <c r="E26" s="6">
        <v>57038</v>
      </c>
      <c r="F26" s="6">
        <v>58471</v>
      </c>
      <c r="G26" s="6">
        <v>59694</v>
      </c>
      <c r="H26" s="10" t="s">
        <v>82</v>
      </c>
      <c r="I26" s="11" t="s">
        <v>43</v>
      </c>
    </row>
    <row r="27" spans="2:9">
      <c r="B27" s="4" t="s">
        <v>51</v>
      </c>
      <c r="C27" s="6">
        <v>32116</v>
      </c>
      <c r="D27" s="6">
        <v>32717</v>
      </c>
      <c r="E27" s="6">
        <v>32907</v>
      </c>
      <c r="F27" s="6">
        <v>33352</v>
      </c>
      <c r="G27" s="6">
        <v>33757</v>
      </c>
      <c r="H27" s="10" t="s">
        <v>82</v>
      </c>
      <c r="I27" s="11" t="s">
        <v>43</v>
      </c>
    </row>
    <row r="28" spans="2:9">
      <c r="B28" s="4" t="s">
        <v>52</v>
      </c>
      <c r="C28" s="6">
        <v>12122</v>
      </c>
      <c r="D28" s="6">
        <v>12193</v>
      </c>
      <c r="E28" s="6">
        <v>12235</v>
      </c>
      <c r="F28" s="6">
        <v>12341</v>
      </c>
      <c r="G28" s="6">
        <v>12428</v>
      </c>
      <c r="H28" s="10" t="s">
        <v>82</v>
      </c>
      <c r="I28" s="11" t="s">
        <v>43</v>
      </c>
    </row>
    <row r="29" spans="2:9">
      <c r="B29" s="4" t="s">
        <v>53</v>
      </c>
      <c r="C29" s="6">
        <v>51947</v>
      </c>
      <c r="D29" s="6">
        <v>52414</v>
      </c>
      <c r="E29" s="6">
        <v>52423</v>
      </c>
      <c r="F29" s="6">
        <v>52924</v>
      </c>
      <c r="G29" s="6">
        <v>53416</v>
      </c>
      <c r="H29" s="10" t="s">
        <v>82</v>
      </c>
      <c r="I29" s="11" t="s">
        <v>43</v>
      </c>
    </row>
    <row r="30" spans="2:9">
      <c r="B30" s="4" t="s">
        <v>54</v>
      </c>
      <c r="C30" s="6">
        <v>211210</v>
      </c>
      <c r="D30" s="6">
        <v>212590</v>
      </c>
      <c r="E30" s="6">
        <v>208436</v>
      </c>
      <c r="F30" s="6">
        <v>207719</v>
      </c>
      <c r="G30" s="6">
        <v>206874</v>
      </c>
      <c r="H30" s="10" t="s">
        <v>82</v>
      </c>
      <c r="I30" s="11" t="s">
        <v>43</v>
      </c>
    </row>
    <row r="31" spans="2:9">
      <c r="B31" s="4" t="s">
        <v>55</v>
      </c>
      <c r="C31" s="6">
        <v>100102</v>
      </c>
      <c r="D31" s="6">
        <v>102270</v>
      </c>
      <c r="E31" s="6">
        <v>105510</v>
      </c>
      <c r="F31" s="6">
        <v>108051</v>
      </c>
      <c r="G31" s="6">
        <v>109765</v>
      </c>
      <c r="H31" s="10" t="s">
        <v>82</v>
      </c>
      <c r="I31" s="11" t="s">
        <v>43</v>
      </c>
    </row>
    <row r="32" spans="2:9">
      <c r="B32" s="4" t="s">
        <v>56</v>
      </c>
      <c r="C32" s="6">
        <v>34793</v>
      </c>
      <c r="D32" s="6">
        <v>35355</v>
      </c>
      <c r="E32" s="6">
        <v>35254</v>
      </c>
      <c r="F32" s="6">
        <v>35666</v>
      </c>
      <c r="G32" s="6">
        <v>36104</v>
      </c>
      <c r="H32" s="10" t="s">
        <v>82</v>
      </c>
      <c r="I32" s="11" t="s">
        <v>43</v>
      </c>
    </row>
    <row r="33" spans="2:9">
      <c r="B33" s="4" t="s">
        <v>57</v>
      </c>
      <c r="C33" s="6">
        <v>28701</v>
      </c>
      <c r="D33" s="6">
        <v>29469</v>
      </c>
      <c r="E33" s="6">
        <v>30404</v>
      </c>
      <c r="F33" s="6">
        <v>31137</v>
      </c>
      <c r="G33" s="6">
        <v>31787</v>
      </c>
      <c r="H33" s="10" t="s">
        <v>82</v>
      </c>
      <c r="I33" s="11" t="s">
        <v>43</v>
      </c>
    </row>
    <row r="34" spans="2:9">
      <c r="B34" s="4" t="s">
        <v>58</v>
      </c>
      <c r="C34" s="6">
        <v>36137</v>
      </c>
      <c r="D34" s="6">
        <v>36446</v>
      </c>
      <c r="E34" s="6">
        <v>38244</v>
      </c>
      <c r="F34" s="6">
        <v>38959</v>
      </c>
      <c r="G34" s="6">
        <v>39547</v>
      </c>
      <c r="H34" s="10" t="s">
        <v>82</v>
      </c>
      <c r="I34" s="11" t="s">
        <v>43</v>
      </c>
    </row>
    <row r="35" spans="2:9">
      <c r="B35" s="4" t="s">
        <v>59</v>
      </c>
      <c r="C35" s="6">
        <v>57182</v>
      </c>
      <c r="D35" s="6">
        <v>59521</v>
      </c>
      <c r="E35" s="6">
        <v>62127</v>
      </c>
      <c r="F35" s="6">
        <v>64483</v>
      </c>
      <c r="G35" s="6">
        <v>66507</v>
      </c>
      <c r="H35" s="10" t="s">
        <v>82</v>
      </c>
      <c r="I35" s="11" t="s">
        <v>43</v>
      </c>
    </row>
    <row r="36" spans="2:9">
      <c r="B36" s="4" t="s">
        <v>60</v>
      </c>
      <c r="C36" s="6">
        <v>62290</v>
      </c>
      <c r="D36" s="6">
        <v>63359</v>
      </c>
      <c r="E36" s="6">
        <v>65847</v>
      </c>
      <c r="F36" s="6">
        <v>67269</v>
      </c>
      <c r="G36" s="6">
        <v>68482</v>
      </c>
      <c r="H36" s="10" t="s">
        <v>82</v>
      </c>
      <c r="I36" s="11" t="s">
        <v>43</v>
      </c>
    </row>
    <row r="37" spans="2:9">
      <c r="B37" s="4" t="s">
        <v>61</v>
      </c>
      <c r="C37" s="6">
        <v>90430</v>
      </c>
      <c r="D37" s="6">
        <v>93496</v>
      </c>
      <c r="E37" s="6">
        <v>97380</v>
      </c>
      <c r="F37" s="6">
        <v>100438</v>
      </c>
      <c r="G37" s="6">
        <v>103222</v>
      </c>
      <c r="H37" s="10" t="s">
        <v>82</v>
      </c>
      <c r="I37" s="11" t="s">
        <v>43</v>
      </c>
    </row>
    <row r="38" spans="2:9">
      <c r="B38" s="4" t="s">
        <v>62</v>
      </c>
      <c r="C38" s="6">
        <v>23814</v>
      </c>
      <c r="D38" s="6">
        <v>24051</v>
      </c>
      <c r="E38" s="6">
        <v>24595</v>
      </c>
      <c r="F38" s="6">
        <v>25019</v>
      </c>
      <c r="G38" s="6">
        <v>25425</v>
      </c>
      <c r="H38" s="10" t="s">
        <v>82</v>
      </c>
      <c r="I38" s="11" t="s">
        <v>43</v>
      </c>
    </row>
    <row r="39" spans="2:9">
      <c r="B39" s="4" t="s">
        <v>63</v>
      </c>
      <c r="C39" s="6">
        <v>24070</v>
      </c>
      <c r="D39" s="6">
        <v>24422</v>
      </c>
      <c r="E39" s="6">
        <v>25859</v>
      </c>
      <c r="F39" s="6">
        <v>24640</v>
      </c>
      <c r="G39" s="6">
        <v>24817</v>
      </c>
      <c r="H39" s="10" t="s">
        <v>82</v>
      </c>
      <c r="I39" s="11" t="s">
        <v>43</v>
      </c>
    </row>
    <row r="40" spans="2:9">
      <c r="B40" s="4" t="s">
        <v>64</v>
      </c>
      <c r="C40" s="6">
        <v>85080</v>
      </c>
      <c r="D40" s="6">
        <v>86079</v>
      </c>
      <c r="E40" s="6">
        <v>87305</v>
      </c>
      <c r="F40" s="6">
        <v>88539</v>
      </c>
      <c r="G40" s="6">
        <v>89687</v>
      </c>
      <c r="H40" s="10" t="s">
        <v>82</v>
      </c>
      <c r="I40" s="11" t="s">
        <v>43</v>
      </c>
    </row>
    <row r="41" spans="2:9">
      <c r="B41" s="4" t="s">
        <v>65</v>
      </c>
      <c r="C41" s="6">
        <v>27752</v>
      </c>
      <c r="D41" s="6">
        <v>27957</v>
      </c>
      <c r="E41" s="6">
        <v>28276</v>
      </c>
      <c r="F41" s="6">
        <v>28617</v>
      </c>
      <c r="G41" s="6">
        <v>28940</v>
      </c>
      <c r="H41" s="10" t="s">
        <v>82</v>
      </c>
      <c r="I41" s="11" t="s">
        <v>43</v>
      </c>
    </row>
    <row r="42" spans="2:9">
      <c r="B42" s="4" t="s">
        <v>66</v>
      </c>
      <c r="C42" s="6">
        <v>38419</v>
      </c>
      <c r="D42" s="6">
        <v>39888</v>
      </c>
      <c r="E42" s="6">
        <v>42206</v>
      </c>
      <c r="F42" s="6">
        <v>43633</v>
      </c>
      <c r="G42" s="6">
        <v>44780</v>
      </c>
      <c r="H42" s="10" t="s">
        <v>82</v>
      </c>
      <c r="I42" s="11" t="s">
        <v>43</v>
      </c>
    </row>
    <row r="43" spans="2:9">
      <c r="B43" s="4" t="s">
        <v>67</v>
      </c>
      <c r="C43" s="6">
        <v>42455</v>
      </c>
      <c r="D43" s="6">
        <v>43072</v>
      </c>
      <c r="E43" s="6">
        <v>43741</v>
      </c>
      <c r="F43" s="6">
        <v>44489</v>
      </c>
      <c r="G43" s="6">
        <v>45209</v>
      </c>
      <c r="H43" s="10" t="s">
        <v>82</v>
      </c>
      <c r="I43" s="11" t="s">
        <v>43</v>
      </c>
    </row>
    <row r="44" spans="2:9">
      <c r="B44" s="4" t="s">
        <v>68</v>
      </c>
      <c r="C44" s="6">
        <v>42226</v>
      </c>
      <c r="D44" s="6">
        <v>43960</v>
      </c>
      <c r="E44" s="6">
        <v>47394</v>
      </c>
      <c r="F44" s="6">
        <v>49227</v>
      </c>
      <c r="G44" s="6">
        <v>50750</v>
      </c>
      <c r="H44" s="10" t="s">
        <v>82</v>
      </c>
      <c r="I44" s="11" t="s">
        <v>43</v>
      </c>
    </row>
    <row r="45" spans="2:9">
      <c r="B45" s="4" t="s">
        <v>69</v>
      </c>
      <c r="C45" s="6">
        <v>17316</v>
      </c>
      <c r="D45" s="6">
        <v>17339</v>
      </c>
      <c r="E45" s="6">
        <v>16899</v>
      </c>
      <c r="F45" s="6">
        <v>16872</v>
      </c>
      <c r="G45" s="6">
        <v>16874</v>
      </c>
      <c r="H45" s="10" t="s">
        <v>82</v>
      </c>
      <c r="I45" s="11" t="s">
        <v>43</v>
      </c>
    </row>
    <row r="46" spans="2:9">
      <c r="B46" s="4" t="s">
        <v>48</v>
      </c>
      <c r="C46" s="5">
        <v>81432</v>
      </c>
      <c r="D46" s="5">
        <v>80729</v>
      </c>
      <c r="E46" s="5">
        <v>79695</v>
      </c>
      <c r="F46" s="5">
        <v>79737</v>
      </c>
      <c r="G46" s="5">
        <v>79643</v>
      </c>
      <c r="H46" s="10" t="s">
        <v>81</v>
      </c>
      <c r="I46" s="11" t="s">
        <v>96</v>
      </c>
    </row>
    <row r="47" spans="2:9">
      <c r="B47" s="4" t="s">
        <v>49</v>
      </c>
      <c r="C47" s="5">
        <v>20252</v>
      </c>
      <c r="D47" s="5">
        <v>19539</v>
      </c>
      <c r="E47" s="5">
        <v>19213</v>
      </c>
      <c r="F47" s="5">
        <v>19080</v>
      </c>
      <c r="G47" s="5">
        <v>18433</v>
      </c>
      <c r="H47" s="10" t="s">
        <v>81</v>
      </c>
      <c r="I47" s="11" t="s">
        <v>96</v>
      </c>
    </row>
    <row r="48" spans="2:9">
      <c r="B48" s="4" t="s">
        <v>50</v>
      </c>
      <c r="C48" s="5">
        <v>42900</v>
      </c>
      <c r="D48" s="5">
        <v>42167</v>
      </c>
      <c r="E48" s="5">
        <v>41310</v>
      </c>
      <c r="F48" s="5">
        <v>40948</v>
      </c>
      <c r="G48" s="5">
        <v>40578</v>
      </c>
      <c r="H48" s="10" t="s">
        <v>81</v>
      </c>
      <c r="I48" s="11" t="s">
        <v>96</v>
      </c>
    </row>
    <row r="49" spans="2:9">
      <c r="B49" s="4" t="s">
        <v>51</v>
      </c>
      <c r="C49" s="5">
        <v>28553</v>
      </c>
      <c r="D49" s="5">
        <v>27760</v>
      </c>
      <c r="E49" s="5">
        <v>27358</v>
      </c>
      <c r="F49" s="5">
        <v>27340</v>
      </c>
      <c r="G49" s="5">
        <v>26588</v>
      </c>
      <c r="H49" s="10" t="s">
        <v>81</v>
      </c>
      <c r="I49" s="11" t="s">
        <v>96</v>
      </c>
    </row>
    <row r="50" spans="2:9">
      <c r="B50" s="4" t="s">
        <v>52</v>
      </c>
      <c r="C50" s="5">
        <v>11464</v>
      </c>
      <c r="D50" s="5">
        <v>10988</v>
      </c>
      <c r="E50" s="5">
        <v>10728</v>
      </c>
      <c r="F50" s="5">
        <v>10714</v>
      </c>
      <c r="G50" s="5">
        <v>10532</v>
      </c>
      <c r="H50" s="10" t="s">
        <v>81</v>
      </c>
      <c r="I50" s="11" t="s">
        <v>96</v>
      </c>
    </row>
    <row r="51" spans="2:9">
      <c r="B51" s="4" t="s">
        <v>53</v>
      </c>
      <c r="C51" s="5">
        <v>46090</v>
      </c>
      <c r="D51" s="5">
        <v>45068</v>
      </c>
      <c r="E51" s="5">
        <v>43877</v>
      </c>
      <c r="F51" s="5">
        <v>43985</v>
      </c>
      <c r="G51" s="5">
        <v>44020</v>
      </c>
      <c r="H51" s="10" t="s">
        <v>81</v>
      </c>
      <c r="I51" s="11" t="s">
        <v>96</v>
      </c>
    </row>
    <row r="52" spans="2:9">
      <c r="B52" s="4" t="s">
        <v>54</v>
      </c>
      <c r="C52" s="5">
        <v>190977</v>
      </c>
      <c r="D52" s="5">
        <v>186740</v>
      </c>
      <c r="E52" s="5">
        <v>184806</v>
      </c>
      <c r="F52" s="5">
        <v>185980</v>
      </c>
      <c r="G52" s="5">
        <v>187052</v>
      </c>
      <c r="H52" s="10" t="s">
        <v>81</v>
      </c>
      <c r="I52" s="11" t="s">
        <v>96</v>
      </c>
    </row>
    <row r="53" spans="2:9">
      <c r="B53" s="4" t="s">
        <v>55</v>
      </c>
      <c r="C53" s="5">
        <v>88800</v>
      </c>
      <c r="D53" s="5">
        <v>86489</v>
      </c>
      <c r="E53" s="5">
        <v>84791</v>
      </c>
      <c r="F53" s="5">
        <v>83896</v>
      </c>
      <c r="G53" s="5">
        <v>81566</v>
      </c>
      <c r="H53" s="10" t="s">
        <v>81</v>
      </c>
      <c r="I53" s="11" t="s">
        <v>96</v>
      </c>
    </row>
    <row r="54" spans="2:9">
      <c r="B54" s="4" t="s">
        <v>56</v>
      </c>
      <c r="C54" s="5">
        <v>29465</v>
      </c>
      <c r="D54" s="5">
        <v>28298</v>
      </c>
      <c r="E54" s="5">
        <v>27031</v>
      </c>
      <c r="F54" s="5">
        <v>26526</v>
      </c>
      <c r="G54" s="5">
        <v>25921</v>
      </c>
      <c r="H54" s="10" t="s">
        <v>81</v>
      </c>
      <c r="I54" s="11" t="s">
        <v>96</v>
      </c>
    </row>
    <row r="55" spans="2:9">
      <c r="B55" s="4" t="s">
        <v>57</v>
      </c>
      <c r="C55" s="5">
        <v>24593</v>
      </c>
      <c r="D55" s="5">
        <v>23718</v>
      </c>
      <c r="E55" s="5">
        <v>23013</v>
      </c>
      <c r="F55" s="5">
        <v>22958</v>
      </c>
      <c r="G55" s="5">
        <v>22266</v>
      </c>
      <c r="H55" s="10" t="s">
        <v>81</v>
      </c>
      <c r="I55" s="11" t="s">
        <v>96</v>
      </c>
    </row>
    <row r="56" spans="2:9">
      <c r="B56" s="4" t="s">
        <v>58</v>
      </c>
      <c r="C56" s="5">
        <v>33910</v>
      </c>
      <c r="D56" s="5">
        <v>32710</v>
      </c>
      <c r="E56" s="5">
        <v>31371</v>
      </c>
      <c r="F56" s="5">
        <v>30346</v>
      </c>
      <c r="G56" s="5">
        <v>29721</v>
      </c>
      <c r="H56" s="10" t="s">
        <v>81</v>
      </c>
      <c r="I56" s="11" t="s">
        <v>96</v>
      </c>
    </row>
    <row r="57" spans="2:9">
      <c r="B57" s="4" t="s">
        <v>59</v>
      </c>
      <c r="C57" s="5">
        <v>40676</v>
      </c>
      <c r="D57" s="5">
        <v>38644</v>
      </c>
      <c r="E57" s="5">
        <v>37595</v>
      </c>
      <c r="F57" s="5">
        <v>37499</v>
      </c>
      <c r="G57" s="5">
        <v>36920</v>
      </c>
      <c r="H57" s="10" t="s">
        <v>81</v>
      </c>
      <c r="I57" s="11" t="s">
        <v>96</v>
      </c>
    </row>
    <row r="58" spans="2:9">
      <c r="B58" s="4" t="s">
        <v>60</v>
      </c>
      <c r="C58" s="5">
        <v>57331</v>
      </c>
      <c r="D58" s="5">
        <v>55516</v>
      </c>
      <c r="E58" s="5">
        <v>53744</v>
      </c>
      <c r="F58" s="5">
        <v>52185</v>
      </c>
      <c r="G58" s="5">
        <v>50693</v>
      </c>
      <c r="H58" s="10" t="s">
        <v>81</v>
      </c>
      <c r="I58" s="11" t="s">
        <v>96</v>
      </c>
    </row>
    <row r="59" spans="2:9">
      <c r="B59" s="4" t="s">
        <v>61</v>
      </c>
      <c r="C59" s="5">
        <v>72682</v>
      </c>
      <c r="D59" s="5">
        <v>72040</v>
      </c>
      <c r="E59" s="5">
        <v>70304</v>
      </c>
      <c r="F59" s="5">
        <v>69632</v>
      </c>
      <c r="G59" s="5">
        <v>67626</v>
      </c>
      <c r="H59" s="10" t="s">
        <v>81</v>
      </c>
      <c r="I59" s="11" t="s">
        <v>96</v>
      </c>
    </row>
    <row r="60" spans="2:9">
      <c r="B60" s="4" t="s">
        <v>62</v>
      </c>
      <c r="C60" s="5">
        <v>22076</v>
      </c>
      <c r="D60" s="5">
        <v>21566</v>
      </c>
      <c r="E60" s="5">
        <v>20798</v>
      </c>
      <c r="F60" s="5">
        <v>20712</v>
      </c>
      <c r="G60" s="5">
        <v>20420</v>
      </c>
      <c r="H60" s="10" t="s">
        <v>81</v>
      </c>
      <c r="I60" s="11" t="s">
        <v>96</v>
      </c>
    </row>
    <row r="61" spans="2:9">
      <c r="B61" s="4" t="s">
        <v>63</v>
      </c>
      <c r="C61" s="5">
        <v>20693</v>
      </c>
      <c r="D61" s="5">
        <v>20176</v>
      </c>
      <c r="E61" s="5">
        <v>19951</v>
      </c>
      <c r="F61" s="5">
        <v>20155</v>
      </c>
      <c r="G61" s="5">
        <v>20052</v>
      </c>
      <c r="H61" s="10" t="s">
        <v>81</v>
      </c>
      <c r="I61" s="11" t="s">
        <v>96</v>
      </c>
    </row>
    <row r="62" spans="2:9">
      <c r="B62" s="4" t="s">
        <v>64</v>
      </c>
      <c r="C62" s="5">
        <v>80728</v>
      </c>
      <c r="D62" s="5">
        <v>78599</v>
      </c>
      <c r="E62" s="5">
        <v>76853</v>
      </c>
      <c r="F62" s="5">
        <v>75134</v>
      </c>
      <c r="G62" s="5">
        <v>72879</v>
      </c>
      <c r="H62" s="10" t="s">
        <v>81</v>
      </c>
      <c r="I62" s="11" t="s">
        <v>96</v>
      </c>
    </row>
    <row r="63" spans="2:9">
      <c r="B63" s="4" t="s">
        <v>65</v>
      </c>
      <c r="C63" s="5">
        <v>26278</v>
      </c>
      <c r="D63" s="5">
        <v>25335</v>
      </c>
      <c r="E63" s="5">
        <v>24400</v>
      </c>
      <c r="F63" s="5">
        <v>24316</v>
      </c>
      <c r="G63" s="5">
        <v>24028</v>
      </c>
      <c r="H63" s="10" t="s">
        <v>81</v>
      </c>
      <c r="I63" s="11" t="s">
        <v>96</v>
      </c>
    </row>
    <row r="64" spans="2:9">
      <c r="B64" s="4" t="s">
        <v>66</v>
      </c>
      <c r="C64" s="5">
        <v>30248</v>
      </c>
      <c r="D64" s="5">
        <v>29462</v>
      </c>
      <c r="E64" s="5">
        <v>28731</v>
      </c>
      <c r="F64" s="5">
        <v>28072</v>
      </c>
      <c r="G64" s="5">
        <v>27361</v>
      </c>
      <c r="H64" s="10" t="s">
        <v>81</v>
      </c>
      <c r="I64" s="11" t="s">
        <v>96</v>
      </c>
    </row>
    <row r="65" spans="2:9">
      <c r="B65" s="4" t="s">
        <v>67</v>
      </c>
      <c r="C65" s="5">
        <v>37316</v>
      </c>
      <c r="D65" s="5">
        <v>36661</v>
      </c>
      <c r="E65" s="5">
        <v>35504</v>
      </c>
      <c r="F65" s="5">
        <v>35136</v>
      </c>
      <c r="G65" s="5">
        <v>34867</v>
      </c>
      <c r="H65" s="10" t="s">
        <v>81</v>
      </c>
      <c r="I65" s="11" t="s">
        <v>96</v>
      </c>
    </row>
    <row r="66" spans="2:9">
      <c r="B66" s="4" t="s">
        <v>68</v>
      </c>
      <c r="C66" s="5">
        <v>32534</v>
      </c>
      <c r="D66" s="5">
        <v>31623</v>
      </c>
      <c r="E66" s="5">
        <v>30726</v>
      </c>
      <c r="F66" s="5">
        <v>29802</v>
      </c>
      <c r="G66" s="5">
        <v>28827</v>
      </c>
      <c r="H66" s="10" t="s">
        <v>81</v>
      </c>
      <c r="I66" s="11" t="s">
        <v>96</v>
      </c>
    </row>
    <row r="67" spans="2:9">
      <c r="B67" s="4" t="s">
        <v>69</v>
      </c>
      <c r="C67" s="5">
        <v>16459</v>
      </c>
      <c r="D67" s="5">
        <v>15797</v>
      </c>
      <c r="E67" s="5">
        <v>15119</v>
      </c>
      <c r="F67" s="5">
        <v>14686</v>
      </c>
      <c r="G67" s="5">
        <v>14627</v>
      </c>
      <c r="H67" s="10" t="s">
        <v>81</v>
      </c>
      <c r="I67" s="11" t="s">
        <v>96</v>
      </c>
    </row>
    <row r="68" spans="2:9">
      <c r="B68" s="4" t="s">
        <v>48</v>
      </c>
      <c r="C68" s="6">
        <v>100319</v>
      </c>
      <c r="D68" s="6">
        <v>102789</v>
      </c>
      <c r="E68" s="6">
        <v>101826</v>
      </c>
      <c r="F68" s="6">
        <v>103347</v>
      </c>
      <c r="G68" s="6">
        <v>104944</v>
      </c>
      <c r="H68" s="10" t="s">
        <v>82</v>
      </c>
      <c r="I68" s="11" t="s">
        <v>96</v>
      </c>
    </row>
    <row r="69" spans="2:9">
      <c r="B69" s="4" t="s">
        <v>49</v>
      </c>
      <c r="C69" s="6">
        <v>23553</v>
      </c>
      <c r="D69" s="6">
        <v>23881</v>
      </c>
      <c r="E69" s="6">
        <v>23883</v>
      </c>
      <c r="F69" s="6">
        <v>24196</v>
      </c>
      <c r="G69" s="6">
        <v>24520</v>
      </c>
      <c r="H69" s="10" t="s">
        <v>82</v>
      </c>
      <c r="I69" s="11" t="s">
        <v>96</v>
      </c>
    </row>
    <row r="70" spans="2:9">
      <c r="B70" s="4" t="s">
        <v>50</v>
      </c>
      <c r="C70" s="6">
        <v>52703</v>
      </c>
      <c r="D70" s="6">
        <v>54104</v>
      </c>
      <c r="E70" s="6">
        <v>55429</v>
      </c>
      <c r="F70" s="6">
        <v>56667</v>
      </c>
      <c r="G70" s="6">
        <v>57747</v>
      </c>
      <c r="H70" s="10" t="s">
        <v>82</v>
      </c>
      <c r="I70" s="11" t="s">
        <v>96</v>
      </c>
    </row>
    <row r="71" spans="2:9">
      <c r="B71" s="4" t="s">
        <v>51</v>
      </c>
      <c r="C71" s="6">
        <v>31703</v>
      </c>
      <c r="D71" s="6">
        <v>32313</v>
      </c>
      <c r="E71" s="6">
        <v>32355</v>
      </c>
      <c r="F71" s="6">
        <v>32732</v>
      </c>
      <c r="G71" s="6">
        <v>33065</v>
      </c>
      <c r="H71" s="10" t="s">
        <v>82</v>
      </c>
      <c r="I71" s="11" t="s">
        <v>96</v>
      </c>
    </row>
    <row r="72" spans="2:9">
      <c r="B72" s="4" t="s">
        <v>52</v>
      </c>
      <c r="C72" s="6">
        <v>12006</v>
      </c>
      <c r="D72" s="6">
        <v>12121</v>
      </c>
      <c r="E72" s="6">
        <v>12096</v>
      </c>
      <c r="F72" s="6">
        <v>12188</v>
      </c>
      <c r="G72" s="6">
        <v>12252</v>
      </c>
      <c r="H72" s="10" t="s">
        <v>82</v>
      </c>
      <c r="I72" s="11" t="s">
        <v>96</v>
      </c>
    </row>
    <row r="73" spans="2:9">
      <c r="B73" s="4" t="s">
        <v>53</v>
      </c>
      <c r="C73" s="6">
        <v>49833</v>
      </c>
      <c r="D73" s="6">
        <v>50351</v>
      </c>
      <c r="E73" s="6">
        <v>50524</v>
      </c>
      <c r="F73" s="6">
        <v>51062</v>
      </c>
      <c r="G73" s="6">
        <v>51570</v>
      </c>
      <c r="H73" s="10" t="s">
        <v>82</v>
      </c>
      <c r="I73" s="11" t="s">
        <v>96</v>
      </c>
    </row>
    <row r="74" spans="2:9">
      <c r="B74" s="4" t="s">
        <v>54</v>
      </c>
      <c r="C74" s="6">
        <v>202416</v>
      </c>
      <c r="D74" s="6">
        <v>203646</v>
      </c>
      <c r="E74" s="6">
        <v>200296</v>
      </c>
      <c r="F74" s="6">
        <v>199732</v>
      </c>
      <c r="G74" s="6">
        <v>199023</v>
      </c>
      <c r="H74" s="10" t="s">
        <v>82</v>
      </c>
      <c r="I74" s="11" t="s">
        <v>96</v>
      </c>
    </row>
    <row r="75" spans="2:9">
      <c r="B75" s="4" t="s">
        <v>55</v>
      </c>
      <c r="C75" s="6">
        <v>98555</v>
      </c>
      <c r="D75" s="6">
        <v>100149</v>
      </c>
      <c r="E75" s="6">
        <v>100961</v>
      </c>
      <c r="F75" s="6">
        <v>102673</v>
      </c>
      <c r="G75" s="6">
        <v>103694</v>
      </c>
      <c r="H75" s="10" t="s">
        <v>82</v>
      </c>
      <c r="I75" s="11" t="s">
        <v>96</v>
      </c>
    </row>
    <row r="76" spans="2:9">
      <c r="B76" s="4" t="s">
        <v>56</v>
      </c>
      <c r="C76" s="6">
        <v>33787</v>
      </c>
      <c r="D76" s="6">
        <v>34320</v>
      </c>
      <c r="E76" s="6">
        <v>34263</v>
      </c>
      <c r="F76" s="6">
        <v>34653</v>
      </c>
      <c r="G76" s="6">
        <v>35063</v>
      </c>
      <c r="H76" s="10" t="s">
        <v>82</v>
      </c>
      <c r="I76" s="11" t="s">
        <v>96</v>
      </c>
    </row>
    <row r="77" spans="2:9">
      <c r="B77" s="4" t="s">
        <v>57</v>
      </c>
      <c r="C77" s="6">
        <v>28425</v>
      </c>
      <c r="D77" s="6">
        <v>29123</v>
      </c>
      <c r="E77" s="6">
        <v>29761</v>
      </c>
      <c r="F77" s="6">
        <v>30377</v>
      </c>
      <c r="G77" s="6">
        <v>30929</v>
      </c>
      <c r="H77" s="10" t="s">
        <v>82</v>
      </c>
      <c r="I77" s="11" t="s">
        <v>96</v>
      </c>
    </row>
    <row r="78" spans="2:9">
      <c r="B78" s="4" t="s">
        <v>58</v>
      </c>
      <c r="C78" s="6">
        <v>37118</v>
      </c>
      <c r="D78" s="6">
        <v>37873</v>
      </c>
      <c r="E78" s="6">
        <v>38098</v>
      </c>
      <c r="F78" s="6">
        <v>38597</v>
      </c>
      <c r="G78" s="6">
        <v>38981</v>
      </c>
      <c r="H78" s="10" t="s">
        <v>82</v>
      </c>
      <c r="I78" s="11" t="s">
        <v>96</v>
      </c>
    </row>
    <row r="79" spans="2:9">
      <c r="B79" s="4" t="s">
        <v>59</v>
      </c>
      <c r="C79" s="6">
        <v>53886</v>
      </c>
      <c r="D79" s="6">
        <v>56099</v>
      </c>
      <c r="E79" s="6">
        <v>59135</v>
      </c>
      <c r="F79" s="6">
        <v>61392</v>
      </c>
      <c r="G79" s="6">
        <v>63450</v>
      </c>
      <c r="H79" s="10" t="s">
        <v>82</v>
      </c>
      <c r="I79" s="11" t="s">
        <v>96</v>
      </c>
    </row>
    <row r="80" spans="2:9">
      <c r="B80" s="4" t="s">
        <v>60</v>
      </c>
      <c r="C80" s="6">
        <v>61253</v>
      </c>
      <c r="D80" s="6">
        <v>62189</v>
      </c>
      <c r="E80" s="6">
        <v>64233</v>
      </c>
      <c r="F80" s="6">
        <v>65430</v>
      </c>
      <c r="G80" s="6">
        <v>66454</v>
      </c>
      <c r="H80" s="10" t="s">
        <v>82</v>
      </c>
      <c r="I80" s="11" t="s">
        <v>96</v>
      </c>
    </row>
    <row r="81" spans="2:9">
      <c r="B81" s="4" t="s">
        <v>61</v>
      </c>
      <c r="C81" s="6">
        <v>88567</v>
      </c>
      <c r="D81" s="6">
        <v>91368</v>
      </c>
      <c r="E81" s="6">
        <v>94644</v>
      </c>
      <c r="F81" s="6">
        <v>97395</v>
      </c>
      <c r="G81" s="6">
        <v>99926</v>
      </c>
      <c r="H81" s="10" t="s">
        <v>82</v>
      </c>
      <c r="I81" s="11" t="s">
        <v>96</v>
      </c>
    </row>
    <row r="82" spans="2:9">
      <c r="B82" s="4" t="s">
        <v>62</v>
      </c>
      <c r="C82" s="6">
        <v>23112</v>
      </c>
      <c r="D82" s="6">
        <v>23368</v>
      </c>
      <c r="E82" s="6">
        <v>23969</v>
      </c>
      <c r="F82" s="6">
        <v>24394</v>
      </c>
      <c r="G82" s="6">
        <v>24797</v>
      </c>
      <c r="H82" s="10" t="s">
        <v>82</v>
      </c>
      <c r="I82" s="11" t="s">
        <v>96</v>
      </c>
    </row>
    <row r="83" spans="2:9">
      <c r="B83" s="4" t="s">
        <v>63</v>
      </c>
      <c r="C83" s="6">
        <v>23385</v>
      </c>
      <c r="D83" s="6">
        <v>23669</v>
      </c>
      <c r="E83" s="6">
        <v>23605</v>
      </c>
      <c r="F83" s="6">
        <v>23813</v>
      </c>
      <c r="G83" s="6">
        <v>23970</v>
      </c>
      <c r="H83" s="10" t="s">
        <v>82</v>
      </c>
      <c r="I83" s="11" t="s">
        <v>96</v>
      </c>
    </row>
    <row r="84" spans="2:9">
      <c r="B84" s="4" t="s">
        <v>64</v>
      </c>
      <c r="C84" s="6">
        <v>83307</v>
      </c>
      <c r="D84" s="6">
        <v>84066</v>
      </c>
      <c r="E84" s="6">
        <v>85135</v>
      </c>
      <c r="F84" s="6">
        <v>86200</v>
      </c>
      <c r="G84" s="6">
        <v>87191</v>
      </c>
      <c r="H84" s="10" t="s">
        <v>82</v>
      </c>
      <c r="I84" s="11" t="s">
        <v>96</v>
      </c>
    </row>
    <row r="85" spans="2:9">
      <c r="B85" s="4" t="s">
        <v>65</v>
      </c>
      <c r="C85" s="6">
        <v>27644</v>
      </c>
      <c r="D85" s="6">
        <v>27888</v>
      </c>
      <c r="E85" s="6">
        <v>27959</v>
      </c>
      <c r="F85" s="6">
        <v>28219</v>
      </c>
      <c r="G85" s="6">
        <v>28472</v>
      </c>
      <c r="H85" s="10" t="s">
        <v>82</v>
      </c>
      <c r="I85" s="11" t="s">
        <v>96</v>
      </c>
    </row>
    <row r="86" spans="2:9">
      <c r="B86" s="4" t="s">
        <v>66</v>
      </c>
      <c r="C86" s="6">
        <v>37381</v>
      </c>
      <c r="D86" s="6">
        <v>38701</v>
      </c>
      <c r="E86" s="6">
        <v>40910</v>
      </c>
      <c r="F86" s="6">
        <v>42235</v>
      </c>
      <c r="G86" s="6">
        <v>43313</v>
      </c>
      <c r="H86" s="10" t="s">
        <v>82</v>
      </c>
      <c r="I86" s="11" t="s">
        <v>96</v>
      </c>
    </row>
    <row r="87" spans="2:9">
      <c r="B87" s="4" t="s">
        <v>67</v>
      </c>
      <c r="C87" s="6">
        <v>41403</v>
      </c>
      <c r="D87" s="6">
        <v>41929</v>
      </c>
      <c r="E87" s="6">
        <v>42646</v>
      </c>
      <c r="F87" s="6">
        <v>43360</v>
      </c>
      <c r="G87" s="6">
        <v>44022</v>
      </c>
      <c r="H87" s="10" t="s">
        <v>82</v>
      </c>
      <c r="I87" s="11" t="s">
        <v>96</v>
      </c>
    </row>
    <row r="88" spans="2:9">
      <c r="B88" s="4" t="s">
        <v>68</v>
      </c>
      <c r="C88" s="6">
        <v>41325</v>
      </c>
      <c r="D88" s="6">
        <v>42880</v>
      </c>
      <c r="E88" s="6">
        <v>46094</v>
      </c>
      <c r="F88" s="6">
        <v>47779</v>
      </c>
      <c r="G88" s="6">
        <v>49182</v>
      </c>
      <c r="H88" s="10" t="s">
        <v>82</v>
      </c>
      <c r="I88" s="11" t="s">
        <v>96</v>
      </c>
    </row>
    <row r="89" spans="2:9">
      <c r="B89" s="4" t="s">
        <v>69</v>
      </c>
      <c r="C89" s="6">
        <v>17400</v>
      </c>
      <c r="D89" s="6">
        <v>17477</v>
      </c>
      <c r="E89" s="6">
        <v>16769</v>
      </c>
      <c r="F89" s="6">
        <v>16699</v>
      </c>
      <c r="G89" s="6">
        <v>16658</v>
      </c>
      <c r="H89" s="10" t="s">
        <v>82</v>
      </c>
      <c r="I89" s="11" t="s">
        <v>96</v>
      </c>
    </row>
    <row r="90" spans="2:9">
      <c r="B90" s="4" t="s">
        <v>48</v>
      </c>
      <c r="C90" s="12">
        <v>413761644.87</v>
      </c>
      <c r="D90" s="12">
        <v>458920917.07</v>
      </c>
      <c r="E90" s="12">
        <v>511495541.04</v>
      </c>
      <c r="F90" s="12">
        <v>572075506.93</v>
      </c>
      <c r="G90" s="12">
        <v>592123344.84</v>
      </c>
      <c r="H90" s="10" t="s">
        <v>84</v>
      </c>
      <c r="I90" s="13" t="s">
        <v>97</v>
      </c>
    </row>
    <row r="91" spans="2:9">
      <c r="B91" s="4" t="s">
        <v>49</v>
      </c>
      <c r="C91" s="12">
        <v>132285407.8</v>
      </c>
      <c r="D91" s="12">
        <v>146756694.97</v>
      </c>
      <c r="E91" s="12">
        <v>162878175.55</v>
      </c>
      <c r="F91" s="12">
        <v>181508017</v>
      </c>
      <c r="G91" s="12">
        <v>180623727.01</v>
      </c>
      <c r="H91" s="10" t="s">
        <v>84</v>
      </c>
      <c r="I91" s="13" t="s">
        <v>97</v>
      </c>
    </row>
    <row r="92" spans="2:9">
      <c r="B92" s="4" t="s">
        <v>50</v>
      </c>
      <c r="C92" s="12">
        <v>200477927.15</v>
      </c>
      <c r="D92" s="12">
        <v>215733749.79</v>
      </c>
      <c r="E92" s="12">
        <v>242876605.1</v>
      </c>
      <c r="F92" s="12">
        <v>275038676.92</v>
      </c>
      <c r="G92" s="12">
        <v>280447993.79</v>
      </c>
      <c r="H92" s="10" t="s">
        <v>84</v>
      </c>
      <c r="I92" s="13" t="s">
        <v>97</v>
      </c>
    </row>
    <row r="93" spans="2:9">
      <c r="B93" s="4" t="s">
        <v>51</v>
      </c>
      <c r="C93" s="12">
        <v>178115328.71</v>
      </c>
      <c r="D93" s="12">
        <v>183027742.29</v>
      </c>
      <c r="E93" s="12">
        <v>201983821.39</v>
      </c>
      <c r="F93" s="12">
        <v>225954413.65</v>
      </c>
      <c r="G93" s="12">
        <v>227389496.04</v>
      </c>
      <c r="H93" s="10" t="s">
        <v>84</v>
      </c>
      <c r="I93" s="13" t="s">
        <v>97</v>
      </c>
    </row>
    <row r="94" spans="2:9">
      <c r="B94" s="4" t="s">
        <v>52</v>
      </c>
      <c r="C94" s="12">
        <v>67302905.19</v>
      </c>
      <c r="D94" s="12">
        <v>70497073.74</v>
      </c>
      <c r="E94" s="12">
        <v>76550382.48</v>
      </c>
      <c r="F94" s="12">
        <v>84891503.62</v>
      </c>
      <c r="G94" s="12">
        <v>85441774.76</v>
      </c>
      <c r="H94" s="10" t="s">
        <v>84</v>
      </c>
      <c r="I94" s="13" t="s">
        <v>97</v>
      </c>
    </row>
    <row r="95" spans="2:9">
      <c r="B95" s="4" t="s">
        <v>53</v>
      </c>
      <c r="C95" s="12">
        <v>238130503.35</v>
      </c>
      <c r="D95" s="12">
        <v>249655590.5</v>
      </c>
      <c r="E95" s="12">
        <v>274397351.8</v>
      </c>
      <c r="F95" s="12">
        <v>305262911.93</v>
      </c>
      <c r="G95" s="12">
        <v>307973670.51</v>
      </c>
      <c r="H95" s="10" t="s">
        <v>84</v>
      </c>
      <c r="I95" s="13" t="s">
        <v>97</v>
      </c>
    </row>
    <row r="96" spans="2:9">
      <c r="B96" s="4" t="s">
        <v>54</v>
      </c>
      <c r="C96" s="12">
        <v>666960547.31</v>
      </c>
      <c r="D96" s="12">
        <v>717515007.49</v>
      </c>
      <c r="E96" s="12">
        <v>800724866.53</v>
      </c>
      <c r="F96" s="12">
        <v>867415490.19</v>
      </c>
      <c r="G96" s="12">
        <v>874157361.64</v>
      </c>
      <c r="H96" s="10" t="s">
        <v>84</v>
      </c>
      <c r="I96" s="13" t="s">
        <v>97</v>
      </c>
    </row>
    <row r="97" spans="2:9">
      <c r="B97" s="4" t="s">
        <v>55</v>
      </c>
      <c r="C97" s="12">
        <v>449923399.07</v>
      </c>
      <c r="D97" s="12">
        <v>482903766.19</v>
      </c>
      <c r="E97" s="12">
        <v>537849280.34</v>
      </c>
      <c r="F97" s="12">
        <v>596166794.13</v>
      </c>
      <c r="G97" s="12">
        <v>604282182.07</v>
      </c>
      <c r="H97" s="10" t="s">
        <v>84</v>
      </c>
      <c r="I97" s="13" t="s">
        <v>97</v>
      </c>
    </row>
    <row r="98" spans="2:9">
      <c r="B98" s="4" t="s">
        <v>56</v>
      </c>
      <c r="C98" s="12">
        <v>172003828.46</v>
      </c>
      <c r="D98" s="12">
        <v>180551531.91</v>
      </c>
      <c r="E98" s="12">
        <v>200321962.93</v>
      </c>
      <c r="F98" s="12">
        <v>224600690.61</v>
      </c>
      <c r="G98" s="12">
        <v>228723722.47</v>
      </c>
      <c r="H98" s="10" t="s">
        <v>84</v>
      </c>
      <c r="I98" s="13" t="s">
        <v>97</v>
      </c>
    </row>
    <row r="99" spans="2:9">
      <c r="B99" s="4" t="s">
        <v>57</v>
      </c>
      <c r="C99" s="12">
        <v>130709973.95</v>
      </c>
      <c r="D99" s="12">
        <v>143821315.23</v>
      </c>
      <c r="E99" s="12">
        <v>156936498.44</v>
      </c>
      <c r="F99" s="12">
        <v>173428461.9</v>
      </c>
      <c r="G99" s="12">
        <v>177218984.12</v>
      </c>
      <c r="H99" s="10" t="s">
        <v>84</v>
      </c>
      <c r="I99" s="13" t="s">
        <v>97</v>
      </c>
    </row>
    <row r="100" spans="2:9">
      <c r="B100" s="4" t="s">
        <v>58</v>
      </c>
      <c r="C100" s="12">
        <v>191961086.99</v>
      </c>
      <c r="D100" s="12">
        <v>206232963.32</v>
      </c>
      <c r="E100" s="12">
        <v>227891773.8</v>
      </c>
      <c r="F100" s="12">
        <v>252749203.12</v>
      </c>
      <c r="G100" s="12">
        <v>255506485.22</v>
      </c>
      <c r="H100" s="10" t="s">
        <v>84</v>
      </c>
      <c r="I100" s="13" t="s">
        <v>97</v>
      </c>
    </row>
    <row r="101" spans="2:9">
      <c r="B101" s="4" t="s">
        <v>59</v>
      </c>
      <c r="C101" s="12">
        <v>263795839.29</v>
      </c>
      <c r="D101" s="12">
        <v>279291702.14</v>
      </c>
      <c r="E101" s="12">
        <v>312883606.47</v>
      </c>
      <c r="F101" s="12">
        <v>350441091.93</v>
      </c>
      <c r="G101" s="12">
        <v>357471685.88</v>
      </c>
      <c r="H101" s="10" t="s">
        <v>84</v>
      </c>
      <c r="I101" s="13" t="s">
        <v>97</v>
      </c>
    </row>
    <row r="102" spans="2:9">
      <c r="B102" s="4" t="s">
        <v>60</v>
      </c>
      <c r="C102" s="12">
        <v>309275792.15</v>
      </c>
      <c r="D102" s="12">
        <v>330487405.21</v>
      </c>
      <c r="E102" s="12">
        <v>366855976.8</v>
      </c>
      <c r="F102" s="12">
        <v>410993038.15</v>
      </c>
      <c r="G102" s="12">
        <v>413318050.16</v>
      </c>
      <c r="H102" s="10" t="s">
        <v>84</v>
      </c>
      <c r="I102" s="13" t="s">
        <v>97</v>
      </c>
    </row>
    <row r="103" spans="2:9">
      <c r="B103" s="4" t="s">
        <v>61</v>
      </c>
      <c r="C103" s="12">
        <v>401603902.22</v>
      </c>
      <c r="D103" s="12">
        <v>441552626.25</v>
      </c>
      <c r="E103" s="12">
        <v>493620579.15</v>
      </c>
      <c r="F103" s="12">
        <v>553161511.3</v>
      </c>
      <c r="G103" s="12">
        <v>569331504.4</v>
      </c>
      <c r="H103" s="10" t="s">
        <v>84</v>
      </c>
      <c r="I103" s="13" t="s">
        <v>97</v>
      </c>
    </row>
    <row r="104" spans="2:9">
      <c r="B104" s="4" t="s">
        <v>62</v>
      </c>
      <c r="C104" s="12">
        <v>142361327.19</v>
      </c>
      <c r="D104" s="12">
        <v>152624881.1</v>
      </c>
      <c r="E104" s="12">
        <v>171340667.4</v>
      </c>
      <c r="F104" s="12">
        <v>192432107.74</v>
      </c>
      <c r="G104" s="12">
        <v>196060476.53</v>
      </c>
      <c r="H104" s="10" t="s">
        <v>84</v>
      </c>
      <c r="I104" s="13" t="s">
        <v>97</v>
      </c>
    </row>
    <row r="105" spans="2:9">
      <c r="B105" s="4" t="s">
        <v>63</v>
      </c>
      <c r="C105" s="12">
        <v>80051213.14</v>
      </c>
      <c r="D105" s="12">
        <v>86658583.22</v>
      </c>
      <c r="E105" s="12">
        <v>95112816.35</v>
      </c>
      <c r="F105" s="12">
        <v>105746516.66</v>
      </c>
      <c r="G105" s="12">
        <v>106585749.17</v>
      </c>
      <c r="H105" s="10" t="s">
        <v>84</v>
      </c>
      <c r="I105" s="13" t="s">
        <v>97</v>
      </c>
    </row>
    <row r="106" spans="2:9">
      <c r="B106" s="4" t="s">
        <v>64</v>
      </c>
      <c r="C106" s="12">
        <v>436212252.1</v>
      </c>
      <c r="D106" s="12">
        <v>474486173.77</v>
      </c>
      <c r="E106" s="12">
        <v>526839778.94</v>
      </c>
      <c r="F106" s="12">
        <v>588442350.41</v>
      </c>
      <c r="G106" s="12">
        <v>600945517.89</v>
      </c>
      <c r="H106" s="10" t="s">
        <v>84</v>
      </c>
      <c r="I106" s="13" t="s">
        <v>97</v>
      </c>
    </row>
    <row r="107" spans="2:9">
      <c r="B107" s="4" t="s">
        <v>65</v>
      </c>
      <c r="C107" s="12">
        <v>151572644.12</v>
      </c>
      <c r="D107" s="12">
        <v>161481386.76</v>
      </c>
      <c r="E107" s="12">
        <v>179337834.57</v>
      </c>
      <c r="F107" s="12">
        <v>200046136.24</v>
      </c>
      <c r="G107" s="12">
        <v>203192037.33</v>
      </c>
      <c r="H107" s="10" t="s">
        <v>84</v>
      </c>
      <c r="I107" s="13" t="s">
        <v>97</v>
      </c>
    </row>
    <row r="108" spans="2:9">
      <c r="B108" s="4" t="s">
        <v>66</v>
      </c>
      <c r="C108" s="12">
        <v>190664417.16</v>
      </c>
      <c r="D108" s="12">
        <v>210533413.13</v>
      </c>
      <c r="E108" s="12">
        <v>234798149.08</v>
      </c>
      <c r="F108" s="12">
        <v>261155535.87</v>
      </c>
      <c r="G108" s="12">
        <v>266533495.03</v>
      </c>
      <c r="H108" s="10" t="s">
        <v>84</v>
      </c>
      <c r="I108" s="13" t="s">
        <v>97</v>
      </c>
    </row>
    <row r="109" spans="2:9">
      <c r="B109" s="4" t="s">
        <v>67</v>
      </c>
      <c r="C109" s="12">
        <v>193585695.77</v>
      </c>
      <c r="D109" s="12">
        <v>212921106.96</v>
      </c>
      <c r="E109" s="12">
        <v>233743013.07</v>
      </c>
      <c r="F109" s="12">
        <v>261057308.43</v>
      </c>
      <c r="G109" s="12">
        <v>264677710.23</v>
      </c>
      <c r="H109" s="10" t="s">
        <v>84</v>
      </c>
      <c r="I109" s="13" t="s">
        <v>97</v>
      </c>
    </row>
    <row r="110" spans="2:9">
      <c r="B110" s="4" t="s">
        <v>68</v>
      </c>
      <c r="C110" s="12">
        <v>169752398.63</v>
      </c>
      <c r="D110" s="12">
        <v>185484884.45</v>
      </c>
      <c r="E110" s="12">
        <v>204385489.57</v>
      </c>
      <c r="F110" s="12">
        <v>225850042.24</v>
      </c>
      <c r="G110" s="12">
        <v>232471923.82</v>
      </c>
      <c r="H110" s="10" t="s">
        <v>84</v>
      </c>
      <c r="I110" s="13" t="s">
        <v>97</v>
      </c>
    </row>
    <row r="111" spans="2:9">
      <c r="B111" s="4" t="s">
        <v>69</v>
      </c>
      <c r="C111" s="12">
        <v>97149931.22</v>
      </c>
      <c r="D111" s="12">
        <v>103614429.47</v>
      </c>
      <c r="E111" s="12">
        <v>114855108.9</v>
      </c>
      <c r="F111" s="12">
        <v>127183040.56</v>
      </c>
      <c r="G111" s="12">
        <v>126859086.98</v>
      </c>
      <c r="H111" s="10" t="s">
        <v>84</v>
      </c>
      <c r="I111" s="13" t="s">
        <v>97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G221"/>
  <sheetViews>
    <sheetView tabSelected="1" workbookViewId="0">
      <selection activeCell="J1" sqref="J1"/>
    </sheetView>
  </sheetViews>
  <sheetFormatPr defaultColWidth="9" defaultRowHeight="15" outlineLevelCol="6"/>
  <cols>
    <col min="3" max="3" width="15.4285714285714" customWidth="1"/>
  </cols>
  <sheetData>
    <row r="1" spans="3:7">
      <c r="C1" s="1" t="s">
        <v>79</v>
      </c>
      <c r="D1" s="2" t="s">
        <v>81</v>
      </c>
      <c r="E1" s="2" t="s">
        <v>98</v>
      </c>
      <c r="F1" s="2" t="s">
        <v>99</v>
      </c>
      <c r="G1" s="3" t="s">
        <v>42</v>
      </c>
    </row>
    <row r="2" spans="3:7">
      <c r="C2" s="4" t="s">
        <v>48</v>
      </c>
      <c r="D2" s="5">
        <v>81432</v>
      </c>
      <c r="E2" s="6">
        <v>100319</v>
      </c>
      <c r="F2" s="7">
        <v>2012</v>
      </c>
      <c r="G2" s="8" t="s">
        <v>96</v>
      </c>
    </row>
    <row r="3" spans="3:7">
      <c r="C3" s="4" t="s">
        <v>49</v>
      </c>
      <c r="D3" s="5">
        <v>20252</v>
      </c>
      <c r="E3" s="6">
        <v>23553</v>
      </c>
      <c r="F3" s="7">
        <v>2012</v>
      </c>
      <c r="G3" s="8" t="s">
        <v>96</v>
      </c>
    </row>
    <row r="4" spans="3:7">
      <c r="C4" s="4" t="s">
        <v>50</v>
      </c>
      <c r="D4" s="5">
        <v>42900</v>
      </c>
      <c r="E4" s="6">
        <v>52703</v>
      </c>
      <c r="F4" s="7">
        <v>2012</v>
      </c>
      <c r="G4" s="8" t="s">
        <v>96</v>
      </c>
    </row>
    <row r="5" spans="3:7">
      <c r="C5" s="4" t="s">
        <v>51</v>
      </c>
      <c r="D5" s="5">
        <v>28553</v>
      </c>
      <c r="E5" s="6">
        <v>31703</v>
      </c>
      <c r="F5" s="7">
        <v>2012</v>
      </c>
      <c r="G5" s="8" t="s">
        <v>96</v>
      </c>
    </row>
    <row r="6" spans="3:7">
      <c r="C6" s="4" t="s">
        <v>52</v>
      </c>
      <c r="D6" s="5">
        <v>11464</v>
      </c>
      <c r="E6" s="6">
        <v>12006</v>
      </c>
      <c r="F6" s="7">
        <v>2012</v>
      </c>
      <c r="G6" s="8" t="s">
        <v>96</v>
      </c>
    </row>
    <row r="7" spans="3:7">
      <c r="C7" s="4" t="s">
        <v>53</v>
      </c>
      <c r="D7" s="5">
        <v>46090</v>
      </c>
      <c r="E7" s="6">
        <v>49833</v>
      </c>
      <c r="F7" s="7">
        <v>2012</v>
      </c>
      <c r="G7" s="8" t="s">
        <v>96</v>
      </c>
    </row>
    <row r="8" spans="3:7">
      <c r="C8" s="4" t="s">
        <v>54</v>
      </c>
      <c r="D8" s="5">
        <v>190977</v>
      </c>
      <c r="E8" s="6">
        <v>202416</v>
      </c>
      <c r="F8" s="7">
        <v>2012</v>
      </c>
      <c r="G8" s="8" t="s">
        <v>96</v>
      </c>
    </row>
    <row r="9" spans="3:7">
      <c r="C9" s="4" t="s">
        <v>55</v>
      </c>
      <c r="D9" s="5">
        <v>88800</v>
      </c>
      <c r="E9" s="6">
        <v>98555</v>
      </c>
      <c r="F9" s="7">
        <v>2012</v>
      </c>
      <c r="G9" s="8" t="s">
        <v>96</v>
      </c>
    </row>
    <row r="10" spans="3:7">
      <c r="C10" s="4" t="s">
        <v>56</v>
      </c>
      <c r="D10" s="5">
        <v>29465</v>
      </c>
      <c r="E10" s="6">
        <v>33787</v>
      </c>
      <c r="F10" s="7">
        <v>2012</v>
      </c>
      <c r="G10" s="8" t="s">
        <v>96</v>
      </c>
    </row>
    <row r="11" spans="3:7">
      <c r="C11" s="4" t="s">
        <v>57</v>
      </c>
      <c r="D11" s="5">
        <v>24593</v>
      </c>
      <c r="E11" s="6">
        <v>28425</v>
      </c>
      <c r="F11" s="7">
        <v>2012</v>
      </c>
      <c r="G11" s="8" t="s">
        <v>96</v>
      </c>
    </row>
    <row r="12" spans="3:7">
      <c r="C12" s="4" t="s">
        <v>58</v>
      </c>
      <c r="D12" s="5">
        <v>33910</v>
      </c>
      <c r="E12" s="6">
        <v>37118</v>
      </c>
      <c r="F12" s="7">
        <v>2012</v>
      </c>
      <c r="G12" s="8" t="s">
        <v>96</v>
      </c>
    </row>
    <row r="13" spans="3:7">
      <c r="C13" s="4" t="s">
        <v>59</v>
      </c>
      <c r="D13" s="5">
        <v>40676</v>
      </c>
      <c r="E13" s="6">
        <v>53886</v>
      </c>
      <c r="F13" s="7">
        <v>2012</v>
      </c>
      <c r="G13" s="8" t="s">
        <v>96</v>
      </c>
    </row>
    <row r="14" spans="3:7">
      <c r="C14" s="4" t="s">
        <v>60</v>
      </c>
      <c r="D14" s="5">
        <v>57331</v>
      </c>
      <c r="E14" s="6">
        <v>61253</v>
      </c>
      <c r="F14" s="7">
        <v>2012</v>
      </c>
      <c r="G14" s="8" t="s">
        <v>96</v>
      </c>
    </row>
    <row r="15" spans="3:7">
      <c r="C15" s="4" t="s">
        <v>61</v>
      </c>
      <c r="D15" s="5">
        <v>72682</v>
      </c>
      <c r="E15" s="6">
        <v>88567</v>
      </c>
      <c r="F15" s="7">
        <v>2012</v>
      </c>
      <c r="G15" s="8" t="s">
        <v>96</v>
      </c>
    </row>
    <row r="16" spans="3:7">
      <c r="C16" s="4" t="s">
        <v>62</v>
      </c>
      <c r="D16" s="5">
        <v>22076</v>
      </c>
      <c r="E16" s="6">
        <v>23112</v>
      </c>
      <c r="F16" s="7">
        <v>2012</v>
      </c>
      <c r="G16" s="8" t="s">
        <v>96</v>
      </c>
    </row>
    <row r="17" spans="3:7">
      <c r="C17" s="4" t="s">
        <v>63</v>
      </c>
      <c r="D17" s="5">
        <v>20693</v>
      </c>
      <c r="E17" s="6">
        <v>23385</v>
      </c>
      <c r="F17" s="7">
        <v>2012</v>
      </c>
      <c r="G17" s="8" t="s">
        <v>96</v>
      </c>
    </row>
    <row r="18" spans="3:7">
      <c r="C18" s="4" t="s">
        <v>64</v>
      </c>
      <c r="D18" s="5">
        <v>80728</v>
      </c>
      <c r="E18" s="6">
        <v>83307</v>
      </c>
      <c r="F18" s="7">
        <v>2012</v>
      </c>
      <c r="G18" s="8" t="s">
        <v>96</v>
      </c>
    </row>
    <row r="19" spans="3:7">
      <c r="C19" s="4" t="s">
        <v>65</v>
      </c>
      <c r="D19" s="5">
        <v>26278</v>
      </c>
      <c r="E19" s="6">
        <v>27644</v>
      </c>
      <c r="F19" s="7">
        <v>2012</v>
      </c>
      <c r="G19" s="8" t="s">
        <v>96</v>
      </c>
    </row>
    <row r="20" spans="3:7">
      <c r="C20" s="4" t="s">
        <v>66</v>
      </c>
      <c r="D20" s="5">
        <v>30248</v>
      </c>
      <c r="E20" s="6">
        <v>37381</v>
      </c>
      <c r="F20" s="7">
        <v>2012</v>
      </c>
      <c r="G20" s="8" t="s">
        <v>96</v>
      </c>
    </row>
    <row r="21" spans="3:7">
      <c r="C21" s="4" t="s">
        <v>67</v>
      </c>
      <c r="D21" s="5">
        <v>37316</v>
      </c>
      <c r="E21" s="6">
        <v>41403</v>
      </c>
      <c r="F21" s="7">
        <v>2012</v>
      </c>
      <c r="G21" s="8" t="s">
        <v>96</v>
      </c>
    </row>
    <row r="22" spans="3:7">
      <c r="C22" s="4" t="s">
        <v>68</v>
      </c>
      <c r="D22" s="5">
        <v>32534</v>
      </c>
      <c r="E22" s="6">
        <v>41325</v>
      </c>
      <c r="F22" s="7">
        <v>2012</v>
      </c>
      <c r="G22" s="8" t="s">
        <v>96</v>
      </c>
    </row>
    <row r="23" spans="3:7">
      <c r="C23" s="4" t="s">
        <v>69</v>
      </c>
      <c r="D23" s="5">
        <v>16459</v>
      </c>
      <c r="E23" s="6">
        <v>17400</v>
      </c>
      <c r="F23" s="7">
        <v>2012</v>
      </c>
      <c r="G23" s="8" t="s">
        <v>96</v>
      </c>
    </row>
    <row r="24" spans="3:7">
      <c r="C24" s="4" t="s">
        <v>48</v>
      </c>
      <c r="D24" s="5">
        <v>80729</v>
      </c>
      <c r="E24" s="6">
        <v>102789</v>
      </c>
      <c r="F24" s="7">
        <v>2013</v>
      </c>
      <c r="G24" s="8" t="s">
        <v>96</v>
      </c>
    </row>
    <row r="25" spans="3:7">
      <c r="C25" s="4" t="s">
        <v>49</v>
      </c>
      <c r="D25" s="5">
        <v>19539</v>
      </c>
      <c r="E25" s="6">
        <v>23881</v>
      </c>
      <c r="F25" s="7">
        <v>2013</v>
      </c>
      <c r="G25" s="8" t="s">
        <v>96</v>
      </c>
    </row>
    <row r="26" spans="3:7">
      <c r="C26" s="4" t="s">
        <v>50</v>
      </c>
      <c r="D26" s="5">
        <v>42167</v>
      </c>
      <c r="E26" s="6">
        <v>54104</v>
      </c>
      <c r="F26" s="7">
        <v>2013</v>
      </c>
      <c r="G26" s="8" t="s">
        <v>96</v>
      </c>
    </row>
    <row r="27" spans="3:7">
      <c r="C27" s="4" t="s">
        <v>51</v>
      </c>
      <c r="D27" s="5">
        <v>27760</v>
      </c>
      <c r="E27" s="6">
        <v>32313</v>
      </c>
      <c r="F27" s="7">
        <v>2013</v>
      </c>
      <c r="G27" s="8" t="s">
        <v>96</v>
      </c>
    </row>
    <row r="28" spans="3:7">
      <c r="C28" s="4" t="s">
        <v>52</v>
      </c>
      <c r="D28" s="5">
        <v>10988</v>
      </c>
      <c r="E28" s="6">
        <v>12121</v>
      </c>
      <c r="F28" s="7">
        <v>2013</v>
      </c>
      <c r="G28" s="8" t="s">
        <v>96</v>
      </c>
    </row>
    <row r="29" spans="3:7">
      <c r="C29" s="4" t="s">
        <v>53</v>
      </c>
      <c r="D29" s="5">
        <v>45068</v>
      </c>
      <c r="E29" s="6">
        <v>50351</v>
      </c>
      <c r="F29" s="7">
        <v>2013</v>
      </c>
      <c r="G29" s="8" t="s">
        <v>96</v>
      </c>
    </row>
    <row r="30" spans="3:7">
      <c r="C30" s="4" t="s">
        <v>54</v>
      </c>
      <c r="D30" s="5">
        <v>186740</v>
      </c>
      <c r="E30" s="6">
        <v>203646</v>
      </c>
      <c r="F30" s="7">
        <v>2013</v>
      </c>
      <c r="G30" s="8" t="s">
        <v>96</v>
      </c>
    </row>
    <row r="31" spans="3:7">
      <c r="C31" s="4" t="s">
        <v>55</v>
      </c>
      <c r="D31" s="5">
        <v>86489</v>
      </c>
      <c r="E31" s="6">
        <v>100149</v>
      </c>
      <c r="F31" s="7">
        <v>2013</v>
      </c>
      <c r="G31" s="8" t="s">
        <v>96</v>
      </c>
    </row>
    <row r="32" spans="3:7">
      <c r="C32" s="4" t="s">
        <v>56</v>
      </c>
      <c r="D32" s="5">
        <v>28298</v>
      </c>
      <c r="E32" s="6">
        <v>34320</v>
      </c>
      <c r="F32" s="7">
        <v>2013</v>
      </c>
      <c r="G32" s="8" t="s">
        <v>96</v>
      </c>
    </row>
    <row r="33" spans="3:7">
      <c r="C33" s="4" t="s">
        <v>57</v>
      </c>
      <c r="D33" s="5">
        <v>23718</v>
      </c>
      <c r="E33" s="6">
        <v>29123</v>
      </c>
      <c r="F33" s="7">
        <v>2013</v>
      </c>
      <c r="G33" s="8" t="s">
        <v>96</v>
      </c>
    </row>
    <row r="34" spans="3:7">
      <c r="C34" s="4" t="s">
        <v>58</v>
      </c>
      <c r="D34" s="5">
        <v>32710</v>
      </c>
      <c r="E34" s="6">
        <v>37873</v>
      </c>
      <c r="F34" s="7">
        <v>2013</v>
      </c>
      <c r="G34" s="8" t="s">
        <v>96</v>
      </c>
    </row>
    <row r="35" spans="3:7">
      <c r="C35" s="4" t="s">
        <v>59</v>
      </c>
      <c r="D35" s="5">
        <v>38644</v>
      </c>
      <c r="E35" s="6">
        <v>56099</v>
      </c>
      <c r="F35" s="7">
        <v>2013</v>
      </c>
      <c r="G35" s="8" t="s">
        <v>96</v>
      </c>
    </row>
    <row r="36" spans="3:7">
      <c r="C36" s="4" t="s">
        <v>60</v>
      </c>
      <c r="D36" s="5">
        <v>55516</v>
      </c>
      <c r="E36" s="6">
        <v>62189</v>
      </c>
      <c r="F36" s="7">
        <v>2013</v>
      </c>
      <c r="G36" s="8" t="s">
        <v>96</v>
      </c>
    </row>
    <row r="37" spans="3:7">
      <c r="C37" s="4" t="s">
        <v>61</v>
      </c>
      <c r="D37" s="5">
        <v>72040</v>
      </c>
      <c r="E37" s="6">
        <v>91368</v>
      </c>
      <c r="F37" s="7">
        <v>2013</v>
      </c>
      <c r="G37" s="8" t="s">
        <v>96</v>
      </c>
    </row>
    <row r="38" spans="3:7">
      <c r="C38" s="4" t="s">
        <v>62</v>
      </c>
      <c r="D38" s="5">
        <v>21566</v>
      </c>
      <c r="E38" s="6">
        <v>23368</v>
      </c>
      <c r="F38" s="7">
        <v>2013</v>
      </c>
      <c r="G38" s="8" t="s">
        <v>96</v>
      </c>
    </row>
    <row r="39" spans="3:7">
      <c r="C39" s="4" t="s">
        <v>63</v>
      </c>
      <c r="D39" s="5">
        <v>20176</v>
      </c>
      <c r="E39" s="6">
        <v>23669</v>
      </c>
      <c r="F39" s="7">
        <v>2013</v>
      </c>
      <c r="G39" s="8" t="s">
        <v>96</v>
      </c>
    </row>
    <row r="40" spans="3:7">
      <c r="C40" s="4" t="s">
        <v>64</v>
      </c>
      <c r="D40" s="5">
        <v>78599</v>
      </c>
      <c r="E40" s="6">
        <v>84066</v>
      </c>
      <c r="F40" s="7">
        <v>2013</v>
      </c>
      <c r="G40" s="8" t="s">
        <v>96</v>
      </c>
    </row>
    <row r="41" spans="3:7">
      <c r="C41" s="4" t="s">
        <v>65</v>
      </c>
      <c r="D41" s="5">
        <v>25335</v>
      </c>
      <c r="E41" s="6">
        <v>27888</v>
      </c>
      <c r="F41" s="7">
        <v>2013</v>
      </c>
      <c r="G41" s="8" t="s">
        <v>96</v>
      </c>
    </row>
    <row r="42" spans="3:7">
      <c r="C42" s="4" t="s">
        <v>66</v>
      </c>
      <c r="D42" s="5">
        <v>29462</v>
      </c>
      <c r="E42" s="6">
        <v>38701</v>
      </c>
      <c r="F42" s="7">
        <v>2013</v>
      </c>
      <c r="G42" s="8" t="s">
        <v>96</v>
      </c>
    </row>
    <row r="43" spans="3:7">
      <c r="C43" s="4" t="s">
        <v>67</v>
      </c>
      <c r="D43" s="5">
        <v>36661</v>
      </c>
      <c r="E43" s="6">
        <v>41929</v>
      </c>
      <c r="F43" s="7">
        <v>2013</v>
      </c>
      <c r="G43" s="8" t="s">
        <v>96</v>
      </c>
    </row>
    <row r="44" spans="3:7">
      <c r="C44" s="4" t="s">
        <v>68</v>
      </c>
      <c r="D44" s="5">
        <v>31623</v>
      </c>
      <c r="E44" s="6">
        <v>42880</v>
      </c>
      <c r="F44" s="7">
        <v>2013</v>
      </c>
      <c r="G44" s="8" t="s">
        <v>96</v>
      </c>
    </row>
    <row r="45" spans="3:7">
      <c r="C45" s="4" t="s">
        <v>69</v>
      </c>
      <c r="D45" s="5">
        <v>15797</v>
      </c>
      <c r="E45" s="6">
        <v>17477</v>
      </c>
      <c r="F45" s="7">
        <v>2013</v>
      </c>
      <c r="G45" s="8" t="s">
        <v>96</v>
      </c>
    </row>
    <row r="46" spans="3:7">
      <c r="C46" s="4" t="s">
        <v>48</v>
      </c>
      <c r="D46" s="5">
        <v>79695</v>
      </c>
      <c r="E46" s="6">
        <v>101826</v>
      </c>
      <c r="F46" s="7">
        <v>2014</v>
      </c>
      <c r="G46" s="8" t="s">
        <v>96</v>
      </c>
    </row>
    <row r="47" spans="3:7">
      <c r="C47" s="4" t="s">
        <v>49</v>
      </c>
      <c r="D47" s="5">
        <v>19213</v>
      </c>
      <c r="E47" s="6">
        <v>23883</v>
      </c>
      <c r="F47" s="7">
        <v>2014</v>
      </c>
      <c r="G47" s="8" t="s">
        <v>96</v>
      </c>
    </row>
    <row r="48" spans="3:7">
      <c r="C48" s="4" t="s">
        <v>50</v>
      </c>
      <c r="D48" s="5">
        <v>41310</v>
      </c>
      <c r="E48" s="6">
        <v>55429</v>
      </c>
      <c r="F48" s="7">
        <v>2014</v>
      </c>
      <c r="G48" s="8" t="s">
        <v>96</v>
      </c>
    </row>
    <row r="49" spans="3:7">
      <c r="C49" s="4" t="s">
        <v>51</v>
      </c>
      <c r="D49" s="5">
        <v>27358</v>
      </c>
      <c r="E49" s="6">
        <v>32355</v>
      </c>
      <c r="F49" s="7">
        <v>2014</v>
      </c>
      <c r="G49" s="8" t="s">
        <v>96</v>
      </c>
    </row>
    <row r="50" spans="3:7">
      <c r="C50" s="4" t="s">
        <v>52</v>
      </c>
      <c r="D50" s="5">
        <v>10728</v>
      </c>
      <c r="E50" s="6">
        <v>12096</v>
      </c>
      <c r="F50" s="7">
        <v>2014</v>
      </c>
      <c r="G50" s="8" t="s">
        <v>96</v>
      </c>
    </row>
    <row r="51" spans="3:7">
      <c r="C51" s="4" t="s">
        <v>53</v>
      </c>
      <c r="D51" s="5">
        <v>43877</v>
      </c>
      <c r="E51" s="6">
        <v>50524</v>
      </c>
      <c r="F51" s="7">
        <v>2014</v>
      </c>
      <c r="G51" s="8" t="s">
        <v>96</v>
      </c>
    </row>
    <row r="52" spans="3:7">
      <c r="C52" s="4" t="s">
        <v>54</v>
      </c>
      <c r="D52" s="5">
        <v>184806</v>
      </c>
      <c r="E52" s="6">
        <v>200296</v>
      </c>
      <c r="F52" s="7">
        <v>2014</v>
      </c>
      <c r="G52" s="8" t="s">
        <v>96</v>
      </c>
    </row>
    <row r="53" spans="3:7">
      <c r="C53" s="4" t="s">
        <v>55</v>
      </c>
      <c r="D53" s="5">
        <v>84791</v>
      </c>
      <c r="E53" s="6">
        <v>100961</v>
      </c>
      <c r="F53" s="7">
        <v>2014</v>
      </c>
      <c r="G53" s="8" t="s">
        <v>96</v>
      </c>
    </row>
    <row r="54" spans="3:7">
      <c r="C54" s="4" t="s">
        <v>56</v>
      </c>
      <c r="D54" s="5">
        <v>27031</v>
      </c>
      <c r="E54" s="6">
        <v>34263</v>
      </c>
      <c r="F54" s="7">
        <v>2014</v>
      </c>
      <c r="G54" s="8" t="s">
        <v>96</v>
      </c>
    </row>
    <row r="55" spans="3:7">
      <c r="C55" s="4" t="s">
        <v>57</v>
      </c>
      <c r="D55" s="5">
        <v>23013</v>
      </c>
      <c r="E55" s="6">
        <v>29761</v>
      </c>
      <c r="F55" s="7">
        <v>2014</v>
      </c>
      <c r="G55" s="8" t="s">
        <v>96</v>
      </c>
    </row>
    <row r="56" spans="3:7">
      <c r="C56" s="4" t="s">
        <v>58</v>
      </c>
      <c r="D56" s="5">
        <v>31371</v>
      </c>
      <c r="E56" s="6">
        <v>38098</v>
      </c>
      <c r="F56" s="7">
        <v>2014</v>
      </c>
      <c r="G56" s="8" t="s">
        <v>96</v>
      </c>
    </row>
    <row r="57" spans="3:7">
      <c r="C57" s="4" t="s">
        <v>59</v>
      </c>
      <c r="D57" s="5">
        <v>37595</v>
      </c>
      <c r="E57" s="6">
        <v>59135</v>
      </c>
      <c r="F57" s="7">
        <v>2014</v>
      </c>
      <c r="G57" s="8" t="s">
        <v>96</v>
      </c>
    </row>
    <row r="58" spans="3:7">
      <c r="C58" s="4" t="s">
        <v>60</v>
      </c>
      <c r="D58" s="5">
        <v>53744</v>
      </c>
      <c r="E58" s="6">
        <v>64233</v>
      </c>
      <c r="F58" s="7">
        <v>2014</v>
      </c>
      <c r="G58" s="8" t="s">
        <v>96</v>
      </c>
    </row>
    <row r="59" spans="3:7">
      <c r="C59" s="4" t="s">
        <v>61</v>
      </c>
      <c r="D59" s="5">
        <v>70304</v>
      </c>
      <c r="E59" s="6">
        <v>94644</v>
      </c>
      <c r="F59" s="7">
        <v>2014</v>
      </c>
      <c r="G59" s="8" t="s">
        <v>96</v>
      </c>
    </row>
    <row r="60" spans="3:7">
      <c r="C60" s="4" t="s">
        <v>62</v>
      </c>
      <c r="D60" s="5">
        <v>20798</v>
      </c>
      <c r="E60" s="6">
        <v>23969</v>
      </c>
      <c r="F60" s="7">
        <v>2014</v>
      </c>
      <c r="G60" s="8" t="s">
        <v>96</v>
      </c>
    </row>
    <row r="61" spans="3:7">
      <c r="C61" s="4" t="s">
        <v>63</v>
      </c>
      <c r="D61" s="5">
        <v>19951</v>
      </c>
      <c r="E61" s="6">
        <v>23605</v>
      </c>
      <c r="F61" s="7">
        <v>2014</v>
      </c>
      <c r="G61" s="8" t="s">
        <v>96</v>
      </c>
    </row>
    <row r="62" spans="3:7">
      <c r="C62" s="4" t="s">
        <v>64</v>
      </c>
      <c r="D62" s="5">
        <v>76853</v>
      </c>
      <c r="E62" s="6">
        <v>85135</v>
      </c>
      <c r="F62" s="7">
        <v>2014</v>
      </c>
      <c r="G62" s="8" t="s">
        <v>96</v>
      </c>
    </row>
    <row r="63" spans="3:7">
      <c r="C63" s="4" t="s">
        <v>65</v>
      </c>
      <c r="D63" s="5">
        <v>24400</v>
      </c>
      <c r="E63" s="6">
        <v>27959</v>
      </c>
      <c r="F63" s="7">
        <v>2014</v>
      </c>
      <c r="G63" s="8" t="s">
        <v>96</v>
      </c>
    </row>
    <row r="64" spans="3:7">
      <c r="C64" s="4" t="s">
        <v>66</v>
      </c>
      <c r="D64" s="5">
        <v>28731</v>
      </c>
      <c r="E64" s="6">
        <v>40910</v>
      </c>
      <c r="F64" s="7">
        <v>2014</v>
      </c>
      <c r="G64" s="8" t="s">
        <v>96</v>
      </c>
    </row>
    <row r="65" spans="3:7">
      <c r="C65" s="4" t="s">
        <v>67</v>
      </c>
      <c r="D65" s="5">
        <v>35504</v>
      </c>
      <c r="E65" s="6">
        <v>42646</v>
      </c>
      <c r="F65" s="7">
        <v>2014</v>
      </c>
      <c r="G65" s="8" t="s">
        <v>96</v>
      </c>
    </row>
    <row r="66" spans="3:7">
      <c r="C66" s="4" t="s">
        <v>68</v>
      </c>
      <c r="D66" s="5">
        <v>30726</v>
      </c>
      <c r="E66" s="6">
        <v>46094</v>
      </c>
      <c r="F66" s="7">
        <v>2014</v>
      </c>
      <c r="G66" s="8" t="s">
        <v>96</v>
      </c>
    </row>
    <row r="67" spans="3:7">
      <c r="C67" s="4" t="s">
        <v>69</v>
      </c>
      <c r="D67" s="5">
        <v>15119</v>
      </c>
      <c r="E67" s="6">
        <v>16769</v>
      </c>
      <c r="F67" s="7">
        <v>2014</v>
      </c>
      <c r="G67" s="8" t="s">
        <v>96</v>
      </c>
    </row>
    <row r="68" spans="3:7">
      <c r="C68" s="4" t="s">
        <v>48</v>
      </c>
      <c r="D68" s="5">
        <v>79737</v>
      </c>
      <c r="E68" s="6">
        <v>103347</v>
      </c>
      <c r="F68" s="7">
        <v>2015</v>
      </c>
      <c r="G68" s="8" t="s">
        <v>96</v>
      </c>
    </row>
    <row r="69" spans="3:7">
      <c r="C69" s="4" t="s">
        <v>49</v>
      </c>
      <c r="D69" s="5">
        <v>19080</v>
      </c>
      <c r="E69" s="6">
        <v>24196</v>
      </c>
      <c r="F69" s="7">
        <v>2015</v>
      </c>
      <c r="G69" s="8" t="s">
        <v>96</v>
      </c>
    </row>
    <row r="70" spans="3:7">
      <c r="C70" s="4" t="s">
        <v>50</v>
      </c>
      <c r="D70" s="5">
        <v>40948</v>
      </c>
      <c r="E70" s="6">
        <v>56667</v>
      </c>
      <c r="F70" s="7">
        <v>2015</v>
      </c>
      <c r="G70" s="8" t="s">
        <v>96</v>
      </c>
    </row>
    <row r="71" spans="3:7">
      <c r="C71" s="4" t="s">
        <v>51</v>
      </c>
      <c r="D71" s="5">
        <v>27340</v>
      </c>
      <c r="E71" s="6">
        <v>32732</v>
      </c>
      <c r="F71" s="7">
        <v>2015</v>
      </c>
      <c r="G71" s="8" t="s">
        <v>96</v>
      </c>
    </row>
    <row r="72" spans="3:7">
      <c r="C72" s="4" t="s">
        <v>52</v>
      </c>
      <c r="D72" s="5">
        <v>10714</v>
      </c>
      <c r="E72" s="6">
        <v>12188</v>
      </c>
      <c r="F72" s="7">
        <v>2015</v>
      </c>
      <c r="G72" s="8" t="s">
        <v>96</v>
      </c>
    </row>
    <row r="73" spans="3:7">
      <c r="C73" s="4" t="s">
        <v>53</v>
      </c>
      <c r="D73" s="5">
        <v>43985</v>
      </c>
      <c r="E73" s="6">
        <v>51062</v>
      </c>
      <c r="F73" s="7">
        <v>2015</v>
      </c>
      <c r="G73" s="8" t="s">
        <v>96</v>
      </c>
    </row>
    <row r="74" spans="3:7">
      <c r="C74" s="4" t="s">
        <v>54</v>
      </c>
      <c r="D74" s="5">
        <v>185980</v>
      </c>
      <c r="E74" s="6">
        <v>199732</v>
      </c>
      <c r="F74" s="7">
        <v>2015</v>
      </c>
      <c r="G74" s="8" t="s">
        <v>96</v>
      </c>
    </row>
    <row r="75" spans="3:7">
      <c r="C75" s="4" t="s">
        <v>55</v>
      </c>
      <c r="D75" s="5">
        <v>83896</v>
      </c>
      <c r="E75" s="6">
        <v>102673</v>
      </c>
      <c r="F75" s="7">
        <v>2015</v>
      </c>
      <c r="G75" s="8" t="s">
        <v>96</v>
      </c>
    </row>
    <row r="76" spans="3:7">
      <c r="C76" s="4" t="s">
        <v>56</v>
      </c>
      <c r="D76" s="5">
        <v>26526</v>
      </c>
      <c r="E76" s="6">
        <v>34653</v>
      </c>
      <c r="F76" s="7">
        <v>2015</v>
      </c>
      <c r="G76" s="8" t="s">
        <v>96</v>
      </c>
    </row>
    <row r="77" spans="3:7">
      <c r="C77" s="4" t="s">
        <v>57</v>
      </c>
      <c r="D77" s="5">
        <v>22958</v>
      </c>
      <c r="E77" s="6">
        <v>30377</v>
      </c>
      <c r="F77" s="7">
        <v>2015</v>
      </c>
      <c r="G77" s="8" t="s">
        <v>96</v>
      </c>
    </row>
    <row r="78" spans="3:7">
      <c r="C78" s="4" t="s">
        <v>58</v>
      </c>
      <c r="D78" s="5">
        <v>30346</v>
      </c>
      <c r="E78" s="6">
        <v>38597</v>
      </c>
      <c r="F78" s="7">
        <v>2015</v>
      </c>
      <c r="G78" s="8" t="s">
        <v>96</v>
      </c>
    </row>
    <row r="79" spans="3:7">
      <c r="C79" s="4" t="s">
        <v>59</v>
      </c>
      <c r="D79" s="5">
        <v>37499</v>
      </c>
      <c r="E79" s="6">
        <v>61392</v>
      </c>
      <c r="F79" s="7">
        <v>2015</v>
      </c>
      <c r="G79" s="8" t="s">
        <v>96</v>
      </c>
    </row>
    <row r="80" spans="3:7">
      <c r="C80" s="4" t="s">
        <v>60</v>
      </c>
      <c r="D80" s="5">
        <v>52185</v>
      </c>
      <c r="E80" s="6">
        <v>65430</v>
      </c>
      <c r="F80" s="7">
        <v>2015</v>
      </c>
      <c r="G80" s="8" t="s">
        <v>96</v>
      </c>
    </row>
    <row r="81" spans="3:7">
      <c r="C81" s="4" t="s">
        <v>61</v>
      </c>
      <c r="D81" s="5">
        <v>69632</v>
      </c>
      <c r="E81" s="6">
        <v>97395</v>
      </c>
      <c r="F81" s="7">
        <v>2015</v>
      </c>
      <c r="G81" s="8" t="s">
        <v>96</v>
      </c>
    </row>
    <row r="82" spans="3:7">
      <c r="C82" s="4" t="s">
        <v>62</v>
      </c>
      <c r="D82" s="5">
        <v>20712</v>
      </c>
      <c r="E82" s="6">
        <v>24394</v>
      </c>
      <c r="F82" s="7">
        <v>2015</v>
      </c>
      <c r="G82" s="8" t="s">
        <v>96</v>
      </c>
    </row>
    <row r="83" spans="3:7">
      <c r="C83" s="4" t="s">
        <v>63</v>
      </c>
      <c r="D83" s="5">
        <v>20155</v>
      </c>
      <c r="E83" s="6">
        <v>23813</v>
      </c>
      <c r="F83" s="7">
        <v>2015</v>
      </c>
      <c r="G83" s="8" t="s">
        <v>96</v>
      </c>
    </row>
    <row r="84" spans="3:7">
      <c r="C84" s="4" t="s">
        <v>64</v>
      </c>
      <c r="D84" s="5">
        <v>75134</v>
      </c>
      <c r="E84" s="6">
        <v>86200</v>
      </c>
      <c r="F84" s="7">
        <v>2015</v>
      </c>
      <c r="G84" s="8" t="s">
        <v>96</v>
      </c>
    </row>
    <row r="85" spans="3:7">
      <c r="C85" s="4" t="s">
        <v>65</v>
      </c>
      <c r="D85" s="5">
        <v>24316</v>
      </c>
      <c r="E85" s="6">
        <v>28219</v>
      </c>
      <c r="F85" s="7">
        <v>2015</v>
      </c>
      <c r="G85" s="8" t="s">
        <v>96</v>
      </c>
    </row>
    <row r="86" spans="3:7">
      <c r="C86" s="4" t="s">
        <v>66</v>
      </c>
      <c r="D86" s="5">
        <v>28072</v>
      </c>
      <c r="E86" s="6">
        <v>42235</v>
      </c>
      <c r="F86" s="7">
        <v>2015</v>
      </c>
      <c r="G86" s="8" t="s">
        <v>96</v>
      </c>
    </row>
    <row r="87" spans="3:7">
      <c r="C87" s="4" t="s">
        <v>67</v>
      </c>
      <c r="D87" s="5">
        <v>35136</v>
      </c>
      <c r="E87" s="6">
        <v>43360</v>
      </c>
      <c r="F87" s="7">
        <v>2015</v>
      </c>
      <c r="G87" s="8" t="s">
        <v>96</v>
      </c>
    </row>
    <row r="88" spans="3:7">
      <c r="C88" s="4" t="s">
        <v>68</v>
      </c>
      <c r="D88" s="5">
        <v>29802</v>
      </c>
      <c r="E88" s="6">
        <v>47779</v>
      </c>
      <c r="F88" s="7">
        <v>2015</v>
      </c>
      <c r="G88" s="8" t="s">
        <v>96</v>
      </c>
    </row>
    <row r="89" spans="3:7">
      <c r="C89" s="4" t="s">
        <v>69</v>
      </c>
      <c r="D89" s="5">
        <v>14686</v>
      </c>
      <c r="E89" s="6">
        <v>16699</v>
      </c>
      <c r="F89" s="7">
        <v>2015</v>
      </c>
      <c r="G89" s="8" t="s">
        <v>96</v>
      </c>
    </row>
    <row r="90" spans="3:7">
      <c r="C90" s="4" t="s">
        <v>48</v>
      </c>
      <c r="D90" s="5">
        <v>79643</v>
      </c>
      <c r="E90" s="6">
        <v>104944</v>
      </c>
      <c r="F90" s="7">
        <v>2016</v>
      </c>
      <c r="G90" s="8" t="s">
        <v>96</v>
      </c>
    </row>
    <row r="91" spans="3:7">
      <c r="C91" s="4" t="s">
        <v>49</v>
      </c>
      <c r="D91" s="5">
        <v>18433</v>
      </c>
      <c r="E91" s="6">
        <v>24520</v>
      </c>
      <c r="F91" s="7">
        <v>2016</v>
      </c>
      <c r="G91" s="8" t="s">
        <v>96</v>
      </c>
    </row>
    <row r="92" spans="3:7">
      <c r="C92" s="4" t="s">
        <v>50</v>
      </c>
      <c r="D92" s="5">
        <v>40578</v>
      </c>
      <c r="E92" s="6">
        <v>57747</v>
      </c>
      <c r="F92" s="7">
        <v>2016</v>
      </c>
      <c r="G92" s="8" t="s">
        <v>96</v>
      </c>
    </row>
    <row r="93" spans="3:7">
      <c r="C93" s="4" t="s">
        <v>51</v>
      </c>
      <c r="D93" s="5">
        <v>26588</v>
      </c>
      <c r="E93" s="6">
        <v>33065</v>
      </c>
      <c r="F93" s="7">
        <v>2016</v>
      </c>
      <c r="G93" s="8" t="s">
        <v>96</v>
      </c>
    </row>
    <row r="94" spans="3:7">
      <c r="C94" s="4" t="s">
        <v>52</v>
      </c>
      <c r="D94" s="5">
        <v>10532</v>
      </c>
      <c r="E94" s="6">
        <v>12252</v>
      </c>
      <c r="F94" s="7">
        <v>2016</v>
      </c>
      <c r="G94" s="8" t="s">
        <v>96</v>
      </c>
    </row>
    <row r="95" spans="3:7">
      <c r="C95" s="4" t="s">
        <v>53</v>
      </c>
      <c r="D95" s="5">
        <v>44020</v>
      </c>
      <c r="E95" s="6">
        <v>51570</v>
      </c>
      <c r="F95" s="7">
        <v>2016</v>
      </c>
      <c r="G95" s="8" t="s">
        <v>96</v>
      </c>
    </row>
    <row r="96" spans="3:7">
      <c r="C96" s="4" t="s">
        <v>54</v>
      </c>
      <c r="D96" s="5">
        <v>187052</v>
      </c>
      <c r="E96" s="6">
        <v>199023</v>
      </c>
      <c r="F96" s="7">
        <v>2016</v>
      </c>
      <c r="G96" s="8" t="s">
        <v>96</v>
      </c>
    </row>
    <row r="97" spans="3:7">
      <c r="C97" s="4" t="s">
        <v>55</v>
      </c>
      <c r="D97" s="5">
        <v>81566</v>
      </c>
      <c r="E97" s="6">
        <v>103694</v>
      </c>
      <c r="F97" s="7">
        <v>2016</v>
      </c>
      <c r="G97" s="8" t="s">
        <v>96</v>
      </c>
    </row>
    <row r="98" spans="3:7">
      <c r="C98" s="4" t="s">
        <v>56</v>
      </c>
      <c r="D98" s="5">
        <v>25921</v>
      </c>
      <c r="E98" s="6">
        <v>35063</v>
      </c>
      <c r="F98" s="7">
        <v>2016</v>
      </c>
      <c r="G98" s="8" t="s">
        <v>96</v>
      </c>
    </row>
    <row r="99" spans="3:7">
      <c r="C99" s="4" t="s">
        <v>57</v>
      </c>
      <c r="D99" s="5">
        <v>22266</v>
      </c>
      <c r="E99" s="6">
        <v>30929</v>
      </c>
      <c r="F99" s="7">
        <v>2016</v>
      </c>
      <c r="G99" s="8" t="s">
        <v>96</v>
      </c>
    </row>
    <row r="100" spans="3:7">
      <c r="C100" s="4" t="s">
        <v>58</v>
      </c>
      <c r="D100" s="5">
        <v>29721</v>
      </c>
      <c r="E100" s="6">
        <v>38981</v>
      </c>
      <c r="F100" s="7">
        <v>2016</v>
      </c>
      <c r="G100" s="8" t="s">
        <v>96</v>
      </c>
    </row>
    <row r="101" spans="3:7">
      <c r="C101" s="4" t="s">
        <v>59</v>
      </c>
      <c r="D101" s="5">
        <v>36920</v>
      </c>
      <c r="E101" s="6">
        <v>63450</v>
      </c>
      <c r="F101" s="7">
        <v>2016</v>
      </c>
      <c r="G101" s="8" t="s">
        <v>96</v>
      </c>
    </row>
    <row r="102" spans="3:7">
      <c r="C102" s="4" t="s">
        <v>60</v>
      </c>
      <c r="D102" s="5">
        <v>50693</v>
      </c>
      <c r="E102" s="6">
        <v>66454</v>
      </c>
      <c r="F102" s="7">
        <v>2016</v>
      </c>
      <c r="G102" s="8" t="s">
        <v>96</v>
      </c>
    </row>
    <row r="103" spans="3:7">
      <c r="C103" s="4" t="s">
        <v>61</v>
      </c>
      <c r="D103" s="5">
        <v>67626</v>
      </c>
      <c r="E103" s="6">
        <v>99926</v>
      </c>
      <c r="F103" s="7">
        <v>2016</v>
      </c>
      <c r="G103" s="8" t="s">
        <v>96</v>
      </c>
    </row>
    <row r="104" spans="3:7">
      <c r="C104" s="4" t="s">
        <v>62</v>
      </c>
      <c r="D104" s="5">
        <v>20420</v>
      </c>
      <c r="E104" s="6">
        <v>24797</v>
      </c>
      <c r="F104" s="7">
        <v>2016</v>
      </c>
      <c r="G104" s="8" t="s">
        <v>96</v>
      </c>
    </row>
    <row r="105" spans="3:7">
      <c r="C105" s="4" t="s">
        <v>63</v>
      </c>
      <c r="D105" s="5">
        <v>20052</v>
      </c>
      <c r="E105" s="6">
        <v>23970</v>
      </c>
      <c r="F105" s="7">
        <v>2016</v>
      </c>
      <c r="G105" s="8" t="s">
        <v>96</v>
      </c>
    </row>
    <row r="106" spans="3:7">
      <c r="C106" s="4" t="s">
        <v>64</v>
      </c>
      <c r="D106" s="5">
        <v>72879</v>
      </c>
      <c r="E106" s="6">
        <v>87191</v>
      </c>
      <c r="F106" s="7">
        <v>2016</v>
      </c>
      <c r="G106" s="8" t="s">
        <v>96</v>
      </c>
    </row>
    <row r="107" spans="3:7">
      <c r="C107" s="4" t="s">
        <v>65</v>
      </c>
      <c r="D107" s="5">
        <v>24028</v>
      </c>
      <c r="E107" s="6">
        <v>28472</v>
      </c>
      <c r="F107" s="7">
        <v>2016</v>
      </c>
      <c r="G107" s="8" t="s">
        <v>96</v>
      </c>
    </row>
    <row r="108" spans="3:7">
      <c r="C108" s="4" t="s">
        <v>66</v>
      </c>
      <c r="D108" s="5">
        <v>27361</v>
      </c>
      <c r="E108" s="6">
        <v>43313</v>
      </c>
      <c r="F108" s="7">
        <v>2016</v>
      </c>
      <c r="G108" s="8" t="s">
        <v>96</v>
      </c>
    </row>
    <row r="109" spans="3:7">
      <c r="C109" s="4" t="s">
        <v>67</v>
      </c>
      <c r="D109" s="5">
        <v>34867</v>
      </c>
      <c r="E109" s="6">
        <v>44022</v>
      </c>
      <c r="F109" s="7">
        <v>2016</v>
      </c>
      <c r="G109" s="8" t="s">
        <v>96</v>
      </c>
    </row>
    <row r="110" spans="3:7">
      <c r="C110" s="4" t="s">
        <v>68</v>
      </c>
      <c r="D110" s="5">
        <v>28827</v>
      </c>
      <c r="E110" s="6">
        <v>49182</v>
      </c>
      <c r="F110" s="7">
        <v>2016</v>
      </c>
      <c r="G110" s="8" t="s">
        <v>96</v>
      </c>
    </row>
    <row r="111" spans="3:7">
      <c r="C111" s="4" t="s">
        <v>69</v>
      </c>
      <c r="D111" s="5">
        <v>14627</v>
      </c>
      <c r="E111" s="6">
        <v>16658</v>
      </c>
      <c r="F111" s="7">
        <v>2016</v>
      </c>
      <c r="G111" s="8" t="s">
        <v>96</v>
      </c>
    </row>
    <row r="112" spans="3:7">
      <c r="C112" s="4" t="s">
        <v>48</v>
      </c>
      <c r="D112" s="5">
        <v>85161</v>
      </c>
      <c r="E112" s="6">
        <v>103498</v>
      </c>
      <c r="F112" s="7">
        <v>2012</v>
      </c>
      <c r="G112" s="9" t="s">
        <v>43</v>
      </c>
    </row>
    <row r="113" spans="3:7">
      <c r="C113" s="4" t="s">
        <v>49</v>
      </c>
      <c r="D113" s="5">
        <v>21119</v>
      </c>
      <c r="E113" s="6">
        <v>23549</v>
      </c>
      <c r="F113" s="7">
        <v>2012</v>
      </c>
      <c r="G113" s="9" t="s">
        <v>43</v>
      </c>
    </row>
    <row r="114" spans="3:7">
      <c r="C114" s="4" t="s">
        <v>50</v>
      </c>
      <c r="D114" s="5">
        <v>44192</v>
      </c>
      <c r="E114" s="6">
        <v>53800</v>
      </c>
      <c r="F114" s="7">
        <v>2012</v>
      </c>
      <c r="G114" s="9" t="s">
        <v>43</v>
      </c>
    </row>
    <row r="115" spans="3:7">
      <c r="C115" s="4" t="s">
        <v>51</v>
      </c>
      <c r="D115" s="5">
        <v>29420</v>
      </c>
      <c r="E115" s="6">
        <v>32116</v>
      </c>
      <c r="F115" s="7">
        <v>2012</v>
      </c>
      <c r="G115" s="9" t="s">
        <v>43</v>
      </c>
    </row>
    <row r="116" spans="3:7">
      <c r="C116" s="4" t="s">
        <v>52</v>
      </c>
      <c r="D116" s="5">
        <v>12003</v>
      </c>
      <c r="E116" s="6">
        <v>12122</v>
      </c>
      <c r="F116" s="7">
        <v>2012</v>
      </c>
      <c r="G116" s="9" t="s">
        <v>43</v>
      </c>
    </row>
    <row r="117" spans="3:7">
      <c r="C117" s="4" t="s">
        <v>53</v>
      </c>
      <c r="D117" s="5">
        <v>48584</v>
      </c>
      <c r="E117" s="6">
        <v>51947</v>
      </c>
      <c r="F117" s="7">
        <v>2012</v>
      </c>
      <c r="G117" s="9" t="s">
        <v>43</v>
      </c>
    </row>
    <row r="118" spans="3:7">
      <c r="C118" s="4" t="s">
        <v>54</v>
      </c>
      <c r="D118" s="5">
        <v>197115</v>
      </c>
      <c r="E118" s="6">
        <v>211210</v>
      </c>
      <c r="F118" s="7">
        <v>2012</v>
      </c>
      <c r="G118" s="9" t="s">
        <v>43</v>
      </c>
    </row>
    <row r="119" spans="3:7">
      <c r="C119" s="4" t="s">
        <v>55</v>
      </c>
      <c r="D119" s="5">
        <v>92683</v>
      </c>
      <c r="E119" s="6">
        <v>100102</v>
      </c>
      <c r="F119" s="7">
        <v>2012</v>
      </c>
      <c r="G119" s="9" t="s">
        <v>43</v>
      </c>
    </row>
    <row r="120" spans="3:7">
      <c r="C120" s="4" t="s">
        <v>56</v>
      </c>
      <c r="D120" s="5">
        <v>30444</v>
      </c>
      <c r="E120" s="6">
        <v>34793</v>
      </c>
      <c r="F120" s="7">
        <v>2012</v>
      </c>
      <c r="G120" s="9" t="s">
        <v>43</v>
      </c>
    </row>
    <row r="121" spans="3:7">
      <c r="C121" s="4" t="s">
        <v>57</v>
      </c>
      <c r="D121" s="5">
        <v>25353</v>
      </c>
      <c r="E121" s="6">
        <v>28701</v>
      </c>
      <c r="F121" s="7">
        <v>2012</v>
      </c>
      <c r="G121" s="9" t="s">
        <v>43</v>
      </c>
    </row>
    <row r="122" spans="3:7">
      <c r="C122" s="4" t="s">
        <v>58</v>
      </c>
      <c r="D122" s="5">
        <v>34993</v>
      </c>
      <c r="E122" s="6">
        <v>36137</v>
      </c>
      <c r="F122" s="7">
        <v>2012</v>
      </c>
      <c r="G122" s="9" t="s">
        <v>43</v>
      </c>
    </row>
    <row r="123" spans="3:7">
      <c r="C123" s="4" t="s">
        <v>59</v>
      </c>
      <c r="D123" s="5">
        <v>41975</v>
      </c>
      <c r="E123" s="6">
        <v>57182</v>
      </c>
      <c r="F123" s="7">
        <v>2012</v>
      </c>
      <c r="G123" s="9" t="s">
        <v>43</v>
      </c>
    </row>
    <row r="124" spans="3:7">
      <c r="C124" s="4" t="s">
        <v>60</v>
      </c>
      <c r="D124" s="5">
        <v>59543</v>
      </c>
      <c r="E124" s="6">
        <v>62290</v>
      </c>
      <c r="F124" s="7">
        <v>2012</v>
      </c>
      <c r="G124" s="9" t="s">
        <v>43</v>
      </c>
    </row>
    <row r="125" spans="3:7">
      <c r="C125" s="4" t="s">
        <v>61</v>
      </c>
      <c r="D125" s="5">
        <v>75859</v>
      </c>
      <c r="E125" s="6">
        <v>90430</v>
      </c>
      <c r="F125" s="7">
        <v>2012</v>
      </c>
      <c r="G125" s="9" t="s">
        <v>43</v>
      </c>
    </row>
    <row r="126" spans="3:7">
      <c r="C126" s="4" t="s">
        <v>62</v>
      </c>
      <c r="D126" s="5">
        <v>23546</v>
      </c>
      <c r="E126" s="6">
        <v>23814</v>
      </c>
      <c r="F126" s="7">
        <v>2012</v>
      </c>
      <c r="G126" s="9" t="s">
        <v>43</v>
      </c>
    </row>
    <row r="127" spans="3:7">
      <c r="C127" s="4" t="s">
        <v>63</v>
      </c>
      <c r="D127" s="5">
        <v>21543</v>
      </c>
      <c r="E127" s="6">
        <v>24070</v>
      </c>
      <c r="F127" s="7">
        <v>2012</v>
      </c>
      <c r="G127" s="9" t="s">
        <v>43</v>
      </c>
    </row>
    <row r="128" spans="3:7">
      <c r="C128" s="4" t="s">
        <v>64</v>
      </c>
      <c r="D128" s="5">
        <v>82952</v>
      </c>
      <c r="E128" s="6">
        <v>85080</v>
      </c>
      <c r="F128" s="7">
        <v>2012</v>
      </c>
      <c r="G128" s="9" t="s">
        <v>43</v>
      </c>
    </row>
    <row r="129" spans="3:7">
      <c r="C129" s="4" t="s">
        <v>65</v>
      </c>
      <c r="D129" s="5">
        <v>27197</v>
      </c>
      <c r="E129" s="6">
        <v>27752</v>
      </c>
      <c r="F129" s="7">
        <v>2012</v>
      </c>
      <c r="G129" s="9" t="s">
        <v>43</v>
      </c>
    </row>
    <row r="130" spans="3:7">
      <c r="C130" s="4" t="s">
        <v>66</v>
      </c>
      <c r="D130" s="5">
        <v>30783</v>
      </c>
      <c r="E130" s="6">
        <v>38419</v>
      </c>
      <c r="F130" s="7">
        <v>2012</v>
      </c>
      <c r="G130" s="9" t="s">
        <v>43</v>
      </c>
    </row>
    <row r="131" spans="3:7">
      <c r="C131" s="4" t="s">
        <v>67</v>
      </c>
      <c r="D131" s="5">
        <v>39563</v>
      </c>
      <c r="E131" s="6">
        <v>42455</v>
      </c>
      <c r="F131" s="7">
        <v>2012</v>
      </c>
      <c r="G131" s="9" t="s">
        <v>43</v>
      </c>
    </row>
    <row r="132" spans="3:7">
      <c r="C132" s="4" t="s">
        <v>68</v>
      </c>
      <c r="D132" s="5">
        <v>33588</v>
      </c>
      <c r="E132" s="6">
        <v>42226</v>
      </c>
      <c r="F132" s="7">
        <v>2012</v>
      </c>
      <c r="G132" s="9" t="s">
        <v>43</v>
      </c>
    </row>
    <row r="133" spans="3:7">
      <c r="C133" s="4" t="s">
        <v>69</v>
      </c>
      <c r="D133" s="5">
        <v>17157</v>
      </c>
      <c r="E133" s="6">
        <v>17316</v>
      </c>
      <c r="F133" s="7">
        <v>2012</v>
      </c>
      <c r="G133" s="9" t="s">
        <v>43</v>
      </c>
    </row>
    <row r="134" spans="3:7">
      <c r="C134" s="4" t="s">
        <v>48</v>
      </c>
      <c r="D134" s="5">
        <v>84385</v>
      </c>
      <c r="E134" s="6">
        <v>106168</v>
      </c>
      <c r="F134" s="7">
        <v>2013</v>
      </c>
      <c r="G134" s="9" t="s">
        <v>43</v>
      </c>
    </row>
    <row r="135" spans="3:7">
      <c r="C135" s="4" t="s">
        <v>49</v>
      </c>
      <c r="D135" s="5">
        <v>20306</v>
      </c>
      <c r="E135" s="6">
        <v>23903</v>
      </c>
      <c r="F135" s="7">
        <v>2013</v>
      </c>
      <c r="G135" s="9" t="s">
        <v>43</v>
      </c>
    </row>
    <row r="136" spans="3:7">
      <c r="C136" s="4" t="s">
        <v>50</v>
      </c>
      <c r="D136" s="5">
        <v>43313</v>
      </c>
      <c r="E136" s="6">
        <v>55352</v>
      </c>
      <c r="F136" s="7">
        <v>2013</v>
      </c>
      <c r="G136" s="9" t="s">
        <v>43</v>
      </c>
    </row>
    <row r="137" spans="3:7">
      <c r="C137" s="4" t="s">
        <v>51</v>
      </c>
      <c r="D137" s="5">
        <v>28632</v>
      </c>
      <c r="E137" s="6">
        <v>32717</v>
      </c>
      <c r="F137" s="7">
        <v>2013</v>
      </c>
      <c r="G137" s="9" t="s">
        <v>43</v>
      </c>
    </row>
    <row r="138" spans="3:7">
      <c r="C138" s="4" t="s">
        <v>52</v>
      </c>
      <c r="D138" s="5">
        <v>11515</v>
      </c>
      <c r="E138" s="6">
        <v>12193</v>
      </c>
      <c r="F138" s="7">
        <v>2013</v>
      </c>
      <c r="G138" s="9" t="s">
        <v>43</v>
      </c>
    </row>
    <row r="139" spans="3:7">
      <c r="C139" s="4" t="s">
        <v>53</v>
      </c>
      <c r="D139" s="5">
        <v>47512</v>
      </c>
      <c r="E139" s="6">
        <v>52414</v>
      </c>
      <c r="F139" s="7">
        <v>2013</v>
      </c>
      <c r="G139" s="9" t="s">
        <v>43</v>
      </c>
    </row>
    <row r="140" spans="3:7">
      <c r="C140" s="4" t="s">
        <v>54</v>
      </c>
      <c r="D140" s="5">
        <v>193253</v>
      </c>
      <c r="E140" s="6">
        <v>212590</v>
      </c>
      <c r="F140" s="7">
        <v>2013</v>
      </c>
      <c r="G140" s="9" t="s">
        <v>43</v>
      </c>
    </row>
    <row r="141" spans="3:7">
      <c r="C141" s="4" t="s">
        <v>55</v>
      </c>
      <c r="D141" s="5">
        <v>90458</v>
      </c>
      <c r="E141" s="6">
        <v>102270</v>
      </c>
      <c r="F141" s="7">
        <v>2013</v>
      </c>
      <c r="G141" s="9" t="s">
        <v>43</v>
      </c>
    </row>
    <row r="142" spans="3:7">
      <c r="C142" s="4" t="s">
        <v>56</v>
      </c>
      <c r="D142" s="5">
        <v>29570</v>
      </c>
      <c r="E142" s="6">
        <v>35355</v>
      </c>
      <c r="F142" s="7">
        <v>2013</v>
      </c>
      <c r="G142" s="9" t="s">
        <v>43</v>
      </c>
    </row>
    <row r="143" spans="3:7">
      <c r="C143" s="4" t="s">
        <v>57</v>
      </c>
      <c r="D143" s="5">
        <v>24803</v>
      </c>
      <c r="E143" s="6">
        <v>29469</v>
      </c>
      <c r="F143" s="7">
        <v>2013</v>
      </c>
      <c r="G143" s="9" t="s">
        <v>43</v>
      </c>
    </row>
    <row r="144" spans="3:7">
      <c r="C144" s="4" t="s">
        <v>58</v>
      </c>
      <c r="D144" s="5">
        <v>33729</v>
      </c>
      <c r="E144" s="6">
        <v>36446</v>
      </c>
      <c r="F144" s="7">
        <v>2013</v>
      </c>
      <c r="G144" s="9" t="s">
        <v>43</v>
      </c>
    </row>
    <row r="145" spans="3:7">
      <c r="C145" s="4" t="s">
        <v>59</v>
      </c>
      <c r="D145" s="5">
        <v>40019</v>
      </c>
      <c r="E145" s="6">
        <v>59521</v>
      </c>
      <c r="F145" s="7">
        <v>2013</v>
      </c>
      <c r="G145" s="9" t="s">
        <v>43</v>
      </c>
    </row>
    <row r="146" spans="3:7">
      <c r="C146" s="4" t="s">
        <v>60</v>
      </c>
      <c r="D146" s="5">
        <v>58079</v>
      </c>
      <c r="E146" s="6">
        <v>63359</v>
      </c>
      <c r="F146" s="7">
        <v>2013</v>
      </c>
      <c r="G146" s="9" t="s">
        <v>43</v>
      </c>
    </row>
    <row r="147" spans="3:7">
      <c r="C147" s="4" t="s">
        <v>61</v>
      </c>
      <c r="D147" s="5">
        <v>75049</v>
      </c>
      <c r="E147" s="6">
        <v>93496</v>
      </c>
      <c r="F147" s="7">
        <v>2013</v>
      </c>
      <c r="G147" s="9" t="s">
        <v>43</v>
      </c>
    </row>
    <row r="148" spans="3:7">
      <c r="C148" s="4" t="s">
        <v>62</v>
      </c>
      <c r="D148" s="5">
        <v>22810</v>
      </c>
      <c r="E148" s="6">
        <v>24051</v>
      </c>
      <c r="F148" s="7">
        <v>2013</v>
      </c>
      <c r="G148" s="9" t="s">
        <v>43</v>
      </c>
    </row>
    <row r="149" spans="3:7">
      <c r="C149" s="4" t="s">
        <v>63</v>
      </c>
      <c r="D149" s="5">
        <v>21072</v>
      </c>
      <c r="E149" s="6">
        <v>24422</v>
      </c>
      <c r="F149" s="7">
        <v>2013</v>
      </c>
      <c r="G149" s="9" t="s">
        <v>43</v>
      </c>
    </row>
    <row r="150" spans="3:7">
      <c r="C150" s="4" t="s">
        <v>64</v>
      </c>
      <c r="D150" s="5">
        <v>81035</v>
      </c>
      <c r="E150" s="6">
        <v>86079</v>
      </c>
      <c r="F150" s="7">
        <v>2013</v>
      </c>
      <c r="G150" s="9" t="s">
        <v>43</v>
      </c>
    </row>
    <row r="151" spans="3:7">
      <c r="C151" s="4" t="s">
        <v>65</v>
      </c>
      <c r="D151" s="5">
        <v>26313</v>
      </c>
      <c r="E151" s="6">
        <v>27957</v>
      </c>
      <c r="F151" s="7">
        <v>2013</v>
      </c>
      <c r="G151" s="9" t="s">
        <v>43</v>
      </c>
    </row>
    <row r="152" spans="3:7">
      <c r="C152" s="4" t="s">
        <v>66</v>
      </c>
      <c r="D152" s="5">
        <v>30150</v>
      </c>
      <c r="E152" s="6">
        <v>39888</v>
      </c>
      <c r="F152" s="7">
        <v>2013</v>
      </c>
      <c r="G152" s="9" t="s">
        <v>43</v>
      </c>
    </row>
    <row r="153" spans="3:7">
      <c r="C153" s="4" t="s">
        <v>67</v>
      </c>
      <c r="D153" s="5">
        <v>38987</v>
      </c>
      <c r="E153" s="6">
        <v>43072</v>
      </c>
      <c r="F153" s="7">
        <v>2013</v>
      </c>
      <c r="G153" s="9" t="s">
        <v>43</v>
      </c>
    </row>
    <row r="154" spans="3:7">
      <c r="C154" s="4" t="s">
        <v>68</v>
      </c>
      <c r="D154" s="5">
        <v>32843</v>
      </c>
      <c r="E154" s="6">
        <v>43960</v>
      </c>
      <c r="F154" s="7">
        <v>2013</v>
      </c>
      <c r="G154" s="9" t="s">
        <v>43</v>
      </c>
    </row>
    <row r="155" spans="3:7">
      <c r="C155" s="4" t="s">
        <v>69</v>
      </c>
      <c r="D155" s="5">
        <v>16638</v>
      </c>
      <c r="E155" s="6">
        <v>17339</v>
      </c>
      <c r="F155" s="7">
        <v>2013</v>
      </c>
      <c r="G155" s="9" t="s">
        <v>43</v>
      </c>
    </row>
    <row r="156" spans="3:7">
      <c r="C156" s="4" t="s">
        <v>48</v>
      </c>
      <c r="D156" s="5">
        <v>83437</v>
      </c>
      <c r="E156" s="6">
        <v>105141</v>
      </c>
      <c r="F156" s="7">
        <v>2014</v>
      </c>
      <c r="G156" s="9" t="s">
        <v>43</v>
      </c>
    </row>
    <row r="157" spans="3:7">
      <c r="C157" s="4" t="s">
        <v>49</v>
      </c>
      <c r="D157" s="5">
        <v>19941</v>
      </c>
      <c r="E157" s="6">
        <v>24312</v>
      </c>
      <c r="F157" s="7">
        <v>2014</v>
      </c>
      <c r="G157" s="9" t="s">
        <v>43</v>
      </c>
    </row>
    <row r="158" spans="3:7">
      <c r="C158" s="4" t="s">
        <v>50</v>
      </c>
      <c r="D158" s="5">
        <v>42588</v>
      </c>
      <c r="E158" s="6">
        <v>57038</v>
      </c>
      <c r="F158" s="7">
        <v>2014</v>
      </c>
      <c r="G158" s="9" t="s">
        <v>43</v>
      </c>
    </row>
    <row r="159" spans="3:7">
      <c r="C159" s="4" t="s">
        <v>51</v>
      </c>
      <c r="D159" s="5">
        <v>28318</v>
      </c>
      <c r="E159" s="6">
        <v>32907</v>
      </c>
      <c r="F159" s="7">
        <v>2014</v>
      </c>
      <c r="G159" s="9" t="s">
        <v>43</v>
      </c>
    </row>
    <row r="160" spans="3:7">
      <c r="C160" s="4" t="s">
        <v>52</v>
      </c>
      <c r="D160" s="5">
        <v>11178</v>
      </c>
      <c r="E160" s="6">
        <v>12235</v>
      </c>
      <c r="F160" s="7">
        <v>2014</v>
      </c>
      <c r="G160" s="9" t="s">
        <v>43</v>
      </c>
    </row>
    <row r="161" spans="3:7">
      <c r="C161" s="4" t="s">
        <v>53</v>
      </c>
      <c r="D161" s="5">
        <v>46483</v>
      </c>
      <c r="E161" s="6">
        <v>52423</v>
      </c>
      <c r="F161" s="7">
        <v>2014</v>
      </c>
      <c r="G161" s="9" t="s">
        <v>43</v>
      </c>
    </row>
    <row r="162" spans="3:7">
      <c r="C162" s="4" t="s">
        <v>54</v>
      </c>
      <c r="D162" s="5">
        <v>191688</v>
      </c>
      <c r="E162" s="6">
        <v>208436</v>
      </c>
      <c r="F162" s="7">
        <v>2014</v>
      </c>
      <c r="G162" s="9" t="s">
        <v>43</v>
      </c>
    </row>
    <row r="163" spans="3:7">
      <c r="C163" s="4" t="s">
        <v>55</v>
      </c>
      <c r="D163" s="5">
        <v>88786</v>
      </c>
      <c r="E163" s="6">
        <v>105510</v>
      </c>
      <c r="F163" s="7">
        <v>2014</v>
      </c>
      <c r="G163" s="9" t="s">
        <v>43</v>
      </c>
    </row>
    <row r="164" spans="3:7">
      <c r="C164" s="4" t="s">
        <v>56</v>
      </c>
      <c r="D164" s="5">
        <v>27991</v>
      </c>
      <c r="E164" s="6">
        <v>35254</v>
      </c>
      <c r="F164" s="7">
        <v>2014</v>
      </c>
      <c r="G164" s="9" t="s">
        <v>43</v>
      </c>
    </row>
    <row r="165" spans="3:7">
      <c r="C165" s="4" t="s">
        <v>57</v>
      </c>
      <c r="D165" s="5">
        <v>24130</v>
      </c>
      <c r="E165" s="6">
        <v>30404</v>
      </c>
      <c r="F165" s="7">
        <v>2014</v>
      </c>
      <c r="G165" s="9" t="s">
        <v>43</v>
      </c>
    </row>
    <row r="166" spans="3:7">
      <c r="C166" s="4" t="s">
        <v>58</v>
      </c>
      <c r="D166" s="5">
        <v>32465</v>
      </c>
      <c r="E166" s="6">
        <v>38244</v>
      </c>
      <c r="F166" s="7">
        <v>2014</v>
      </c>
      <c r="G166" s="9" t="s">
        <v>43</v>
      </c>
    </row>
    <row r="167" spans="3:7">
      <c r="C167" s="4" t="s">
        <v>59</v>
      </c>
      <c r="D167" s="5">
        <v>38581</v>
      </c>
      <c r="E167" s="6">
        <v>62127</v>
      </c>
      <c r="F167" s="7">
        <v>2014</v>
      </c>
      <c r="G167" s="9" t="s">
        <v>43</v>
      </c>
    </row>
    <row r="168" spans="3:7">
      <c r="C168" s="4" t="s">
        <v>60</v>
      </c>
      <c r="D168" s="5">
        <v>56212</v>
      </c>
      <c r="E168" s="6">
        <v>65847</v>
      </c>
      <c r="F168" s="7">
        <v>2014</v>
      </c>
      <c r="G168" s="9" t="s">
        <v>43</v>
      </c>
    </row>
    <row r="169" spans="3:7">
      <c r="C169" s="4" t="s">
        <v>61</v>
      </c>
      <c r="D169" s="5">
        <v>73132</v>
      </c>
      <c r="E169" s="6">
        <v>97380</v>
      </c>
      <c r="F169" s="7">
        <v>2014</v>
      </c>
      <c r="G169" s="9" t="s">
        <v>43</v>
      </c>
    </row>
    <row r="170" spans="3:7">
      <c r="C170" s="4" t="s">
        <v>62</v>
      </c>
      <c r="D170" s="5">
        <v>22054</v>
      </c>
      <c r="E170" s="6">
        <v>24595</v>
      </c>
      <c r="F170" s="7">
        <v>2014</v>
      </c>
      <c r="G170" s="9" t="s">
        <v>43</v>
      </c>
    </row>
    <row r="171" spans="3:7">
      <c r="C171" s="4" t="s">
        <v>63</v>
      </c>
      <c r="D171" s="5">
        <v>20897</v>
      </c>
      <c r="E171" s="6">
        <v>25859</v>
      </c>
      <c r="F171" s="7">
        <v>2014</v>
      </c>
      <c r="G171" s="9" t="s">
        <v>43</v>
      </c>
    </row>
    <row r="172" spans="3:7">
      <c r="C172" s="4" t="s">
        <v>64</v>
      </c>
      <c r="D172" s="5">
        <v>79277</v>
      </c>
      <c r="E172" s="6">
        <v>87305</v>
      </c>
      <c r="F172" s="7">
        <v>2014</v>
      </c>
      <c r="G172" s="9" t="s">
        <v>43</v>
      </c>
    </row>
    <row r="173" spans="3:7">
      <c r="C173" s="4" t="s">
        <v>65</v>
      </c>
      <c r="D173" s="5">
        <v>25463</v>
      </c>
      <c r="E173" s="6">
        <v>28276</v>
      </c>
      <c r="F173" s="7">
        <v>2014</v>
      </c>
      <c r="G173" s="9" t="s">
        <v>43</v>
      </c>
    </row>
    <row r="174" spans="3:7">
      <c r="C174" s="4" t="s">
        <v>66</v>
      </c>
      <c r="D174" s="5">
        <v>29717</v>
      </c>
      <c r="E174" s="6">
        <v>42206</v>
      </c>
      <c r="F174" s="7">
        <v>2014</v>
      </c>
      <c r="G174" s="9" t="s">
        <v>43</v>
      </c>
    </row>
    <row r="175" spans="3:7">
      <c r="C175" s="4" t="s">
        <v>67</v>
      </c>
      <c r="D175" s="5">
        <v>37881</v>
      </c>
      <c r="E175" s="6">
        <v>43741</v>
      </c>
      <c r="F175" s="7">
        <v>2014</v>
      </c>
      <c r="G175" s="9" t="s">
        <v>43</v>
      </c>
    </row>
    <row r="176" spans="3:7">
      <c r="C176" s="4" t="s">
        <v>68</v>
      </c>
      <c r="D176" s="5">
        <v>32047</v>
      </c>
      <c r="E176" s="6">
        <v>47394</v>
      </c>
      <c r="F176" s="7">
        <v>2014</v>
      </c>
      <c r="G176" s="9" t="s">
        <v>43</v>
      </c>
    </row>
    <row r="177" spans="3:7">
      <c r="C177" s="4" t="s">
        <v>69</v>
      </c>
      <c r="D177" s="5">
        <v>15986</v>
      </c>
      <c r="E177" s="6">
        <v>16899</v>
      </c>
      <c r="F177" s="7">
        <v>2014</v>
      </c>
      <c r="G177" s="9" t="s">
        <v>43</v>
      </c>
    </row>
    <row r="178" spans="3:7">
      <c r="C178" s="4" t="s">
        <v>48</v>
      </c>
      <c r="D178" s="5">
        <v>83851</v>
      </c>
      <c r="E178" s="6">
        <v>106779</v>
      </c>
      <c r="F178" s="7">
        <v>2015</v>
      </c>
      <c r="G178" s="9" t="s">
        <v>43</v>
      </c>
    </row>
    <row r="179" spans="3:7">
      <c r="C179" s="4" t="s">
        <v>49</v>
      </c>
      <c r="D179" s="5">
        <v>19811</v>
      </c>
      <c r="E179" s="6">
        <v>24746</v>
      </c>
      <c r="F179" s="7">
        <v>2015</v>
      </c>
      <c r="G179" s="9" t="s">
        <v>43</v>
      </c>
    </row>
    <row r="180" spans="3:7">
      <c r="C180" s="4" t="s">
        <v>50</v>
      </c>
      <c r="D180" s="5">
        <v>42309</v>
      </c>
      <c r="E180" s="6">
        <v>58471</v>
      </c>
      <c r="F180" s="7">
        <v>2015</v>
      </c>
      <c r="G180" s="9" t="s">
        <v>43</v>
      </c>
    </row>
    <row r="181" spans="3:7">
      <c r="C181" s="4" t="s">
        <v>51</v>
      </c>
      <c r="D181" s="5">
        <v>28456</v>
      </c>
      <c r="E181" s="6">
        <v>33352</v>
      </c>
      <c r="F181" s="7">
        <v>2015</v>
      </c>
      <c r="G181" s="9" t="s">
        <v>43</v>
      </c>
    </row>
    <row r="182" spans="3:7">
      <c r="C182" s="4" t="s">
        <v>52</v>
      </c>
      <c r="D182" s="5">
        <v>10977</v>
      </c>
      <c r="E182" s="6">
        <v>12341</v>
      </c>
      <c r="F182" s="7">
        <v>2015</v>
      </c>
      <c r="G182" s="9" t="s">
        <v>43</v>
      </c>
    </row>
    <row r="183" spans="3:7">
      <c r="C183" s="4" t="s">
        <v>53</v>
      </c>
      <c r="D183" s="5">
        <v>46541</v>
      </c>
      <c r="E183" s="6">
        <v>52924</v>
      </c>
      <c r="F183" s="7">
        <v>2015</v>
      </c>
      <c r="G183" s="9" t="s">
        <v>43</v>
      </c>
    </row>
    <row r="184" spans="3:7">
      <c r="C184" s="4" t="s">
        <v>54</v>
      </c>
      <c r="D184" s="5">
        <v>192638</v>
      </c>
      <c r="E184" s="6">
        <v>207719</v>
      </c>
      <c r="F184" s="7">
        <v>2015</v>
      </c>
      <c r="G184" s="9" t="s">
        <v>43</v>
      </c>
    </row>
    <row r="185" spans="3:7">
      <c r="C185" s="4" t="s">
        <v>55</v>
      </c>
      <c r="D185" s="5">
        <v>87662</v>
      </c>
      <c r="E185" s="6">
        <v>108051</v>
      </c>
      <c r="F185" s="7">
        <v>2015</v>
      </c>
      <c r="G185" s="9" t="s">
        <v>43</v>
      </c>
    </row>
    <row r="186" spans="3:7">
      <c r="C186" s="4" t="s">
        <v>56</v>
      </c>
      <c r="D186" s="5">
        <v>27670</v>
      </c>
      <c r="E186" s="6">
        <v>35666</v>
      </c>
      <c r="F186" s="7">
        <v>2015</v>
      </c>
      <c r="G186" s="9" t="s">
        <v>43</v>
      </c>
    </row>
    <row r="187" spans="3:7">
      <c r="C187" s="4" t="s">
        <v>57</v>
      </c>
      <c r="D187" s="5">
        <v>24119</v>
      </c>
      <c r="E187" s="6">
        <v>31137</v>
      </c>
      <c r="F187" s="7">
        <v>2015</v>
      </c>
      <c r="G187" s="9" t="s">
        <v>43</v>
      </c>
    </row>
    <row r="188" spans="3:7">
      <c r="C188" s="4" t="s">
        <v>58</v>
      </c>
      <c r="D188" s="5">
        <v>31658</v>
      </c>
      <c r="E188" s="6">
        <v>38959</v>
      </c>
      <c r="F188" s="7">
        <v>2015</v>
      </c>
      <c r="G188" s="9" t="s">
        <v>43</v>
      </c>
    </row>
    <row r="189" spans="3:7">
      <c r="C189" s="4" t="s">
        <v>59</v>
      </c>
      <c r="D189" s="5">
        <v>38596</v>
      </c>
      <c r="E189" s="6">
        <v>64483</v>
      </c>
      <c r="F189" s="7">
        <v>2015</v>
      </c>
      <c r="G189" s="9" t="s">
        <v>43</v>
      </c>
    </row>
    <row r="190" spans="3:7">
      <c r="C190" s="4" t="s">
        <v>60</v>
      </c>
      <c r="D190" s="5">
        <v>54713</v>
      </c>
      <c r="E190" s="6">
        <v>67269</v>
      </c>
      <c r="F190" s="7">
        <v>2015</v>
      </c>
      <c r="G190" s="9" t="s">
        <v>43</v>
      </c>
    </row>
    <row r="191" spans="3:7">
      <c r="C191" s="4" t="s">
        <v>61</v>
      </c>
      <c r="D191" s="5">
        <v>72493</v>
      </c>
      <c r="E191" s="6">
        <v>100438</v>
      </c>
      <c r="F191" s="7">
        <v>2015</v>
      </c>
      <c r="G191" s="9" t="s">
        <v>43</v>
      </c>
    </row>
    <row r="192" spans="3:7">
      <c r="C192" s="4" t="s">
        <v>62</v>
      </c>
      <c r="D192" s="5">
        <v>21835</v>
      </c>
      <c r="E192" s="6">
        <v>25019</v>
      </c>
      <c r="F192" s="7">
        <v>2015</v>
      </c>
      <c r="G192" s="9" t="s">
        <v>43</v>
      </c>
    </row>
    <row r="193" spans="3:7">
      <c r="C193" s="4" t="s">
        <v>63</v>
      </c>
      <c r="D193" s="5">
        <v>20890</v>
      </c>
      <c r="E193" s="6">
        <v>24640</v>
      </c>
      <c r="F193" s="7">
        <v>2015</v>
      </c>
      <c r="G193" s="9" t="s">
        <v>43</v>
      </c>
    </row>
    <row r="194" spans="3:7">
      <c r="C194" s="4" t="s">
        <v>64</v>
      </c>
      <c r="D194" s="5">
        <v>77599</v>
      </c>
      <c r="E194" s="6">
        <v>88539</v>
      </c>
      <c r="F194" s="7">
        <v>2015</v>
      </c>
      <c r="G194" s="9" t="s">
        <v>43</v>
      </c>
    </row>
    <row r="195" spans="3:7">
      <c r="C195" s="4" t="s">
        <v>65</v>
      </c>
      <c r="D195" s="5">
        <v>25310</v>
      </c>
      <c r="E195" s="6">
        <v>28617</v>
      </c>
      <c r="F195" s="7">
        <v>2015</v>
      </c>
      <c r="G195" s="9" t="s">
        <v>43</v>
      </c>
    </row>
    <row r="196" spans="3:7">
      <c r="C196" s="4" t="s">
        <v>66</v>
      </c>
      <c r="D196" s="5">
        <v>29313</v>
      </c>
      <c r="E196" s="6">
        <v>43633</v>
      </c>
      <c r="F196" s="7">
        <v>2015</v>
      </c>
      <c r="G196" s="9" t="s">
        <v>43</v>
      </c>
    </row>
    <row r="197" spans="3:7">
      <c r="C197" s="4" t="s">
        <v>67</v>
      </c>
      <c r="D197" s="5">
        <v>37574</v>
      </c>
      <c r="E197" s="6">
        <v>44489</v>
      </c>
      <c r="F197" s="7">
        <v>2015</v>
      </c>
      <c r="G197" s="9" t="s">
        <v>43</v>
      </c>
    </row>
    <row r="198" spans="3:7">
      <c r="C198" s="4" t="s">
        <v>68</v>
      </c>
      <c r="D198" s="5">
        <v>30995</v>
      </c>
      <c r="E198" s="6">
        <v>49227</v>
      </c>
      <c r="F198" s="7">
        <v>2015</v>
      </c>
      <c r="G198" s="9" t="s">
        <v>43</v>
      </c>
    </row>
    <row r="199" spans="3:7">
      <c r="C199" s="4" t="s">
        <v>69</v>
      </c>
      <c r="D199" s="5">
        <v>15680</v>
      </c>
      <c r="E199" s="6">
        <v>16872</v>
      </c>
      <c r="F199" s="7">
        <v>2015</v>
      </c>
      <c r="G199" s="9" t="s">
        <v>43</v>
      </c>
    </row>
    <row r="200" spans="3:7">
      <c r="C200" s="4" t="s">
        <v>48</v>
      </c>
      <c r="D200" s="5">
        <v>84117</v>
      </c>
      <c r="E200" s="6">
        <v>108470</v>
      </c>
      <c r="F200" s="7">
        <v>2016</v>
      </c>
      <c r="G200" s="9" t="s">
        <v>43</v>
      </c>
    </row>
    <row r="201" spans="3:7">
      <c r="C201" s="4" t="s">
        <v>49</v>
      </c>
      <c r="D201" s="5">
        <v>19239</v>
      </c>
      <c r="E201" s="6">
        <v>25174</v>
      </c>
      <c r="F201" s="7">
        <v>2016</v>
      </c>
      <c r="G201" s="9" t="s">
        <v>43</v>
      </c>
    </row>
    <row r="202" spans="3:7">
      <c r="C202" s="4" t="s">
        <v>50</v>
      </c>
      <c r="D202" s="5">
        <v>41893</v>
      </c>
      <c r="E202" s="6">
        <v>59694</v>
      </c>
      <c r="F202" s="7">
        <v>2016</v>
      </c>
      <c r="G202" s="9" t="s">
        <v>43</v>
      </c>
    </row>
    <row r="203" spans="3:7">
      <c r="C203" s="4" t="s">
        <v>51</v>
      </c>
      <c r="D203" s="5">
        <v>27583</v>
      </c>
      <c r="E203" s="6">
        <v>33757</v>
      </c>
      <c r="F203" s="7">
        <v>2016</v>
      </c>
      <c r="G203" s="9" t="s">
        <v>43</v>
      </c>
    </row>
    <row r="204" spans="3:7">
      <c r="C204" s="4" t="s">
        <v>52</v>
      </c>
      <c r="D204" s="5">
        <v>10856</v>
      </c>
      <c r="E204" s="6">
        <v>12428</v>
      </c>
      <c r="F204" s="7">
        <v>2016</v>
      </c>
      <c r="G204" s="9" t="s">
        <v>43</v>
      </c>
    </row>
    <row r="205" spans="3:7">
      <c r="C205" s="4" t="s">
        <v>53</v>
      </c>
      <c r="D205" s="5">
        <v>46670</v>
      </c>
      <c r="E205" s="6">
        <v>53416</v>
      </c>
      <c r="F205" s="7">
        <v>2016</v>
      </c>
      <c r="G205" s="9" t="s">
        <v>43</v>
      </c>
    </row>
    <row r="206" spans="3:7">
      <c r="C206" s="4" t="s">
        <v>54</v>
      </c>
      <c r="D206" s="5">
        <v>193464</v>
      </c>
      <c r="E206" s="6">
        <v>206874</v>
      </c>
      <c r="F206" s="7">
        <v>2016</v>
      </c>
      <c r="G206" s="9" t="s">
        <v>43</v>
      </c>
    </row>
    <row r="207" spans="3:7">
      <c r="C207" s="4" t="s">
        <v>55</v>
      </c>
      <c r="D207" s="5">
        <v>85323</v>
      </c>
      <c r="E207" s="6">
        <v>109765</v>
      </c>
      <c r="F207" s="7">
        <v>2016</v>
      </c>
      <c r="G207" s="9" t="s">
        <v>43</v>
      </c>
    </row>
    <row r="208" spans="3:7">
      <c r="C208" s="4" t="s">
        <v>56</v>
      </c>
      <c r="D208" s="5">
        <v>27096</v>
      </c>
      <c r="E208" s="6">
        <v>36104</v>
      </c>
      <c r="F208" s="7">
        <v>2016</v>
      </c>
      <c r="G208" s="9" t="s">
        <v>43</v>
      </c>
    </row>
    <row r="209" spans="3:7">
      <c r="C209" s="4" t="s">
        <v>57</v>
      </c>
      <c r="D209" s="5">
        <v>23446</v>
      </c>
      <c r="E209" s="6">
        <v>31787</v>
      </c>
      <c r="F209" s="7">
        <v>2016</v>
      </c>
      <c r="G209" s="9" t="s">
        <v>43</v>
      </c>
    </row>
    <row r="210" spans="3:7">
      <c r="C210" s="4" t="s">
        <v>58</v>
      </c>
      <c r="D210" s="5">
        <v>31141</v>
      </c>
      <c r="E210" s="6">
        <v>39547</v>
      </c>
      <c r="F210" s="7">
        <v>2016</v>
      </c>
      <c r="G210" s="9" t="s">
        <v>43</v>
      </c>
    </row>
    <row r="211" spans="3:7">
      <c r="C211" s="4" t="s">
        <v>59</v>
      </c>
      <c r="D211" s="5">
        <v>38437</v>
      </c>
      <c r="E211" s="6">
        <v>66507</v>
      </c>
      <c r="F211" s="7">
        <v>2016</v>
      </c>
      <c r="G211" s="9" t="s">
        <v>43</v>
      </c>
    </row>
    <row r="212" spans="3:7">
      <c r="C212" s="4" t="s">
        <v>60</v>
      </c>
      <c r="D212" s="5">
        <v>52953</v>
      </c>
      <c r="E212" s="6">
        <v>68482</v>
      </c>
      <c r="F212" s="7">
        <v>2016</v>
      </c>
      <c r="G212" s="9" t="s">
        <v>43</v>
      </c>
    </row>
    <row r="213" spans="3:7">
      <c r="C213" s="4" t="s">
        <v>61</v>
      </c>
      <c r="D213" s="5">
        <v>70779</v>
      </c>
      <c r="E213" s="6">
        <v>103222</v>
      </c>
      <c r="F213" s="7">
        <v>2016</v>
      </c>
      <c r="G213" s="9" t="s">
        <v>43</v>
      </c>
    </row>
    <row r="214" spans="3:7">
      <c r="C214" s="4" t="s">
        <v>62</v>
      </c>
      <c r="D214" s="5">
        <v>21440</v>
      </c>
      <c r="E214" s="6">
        <v>25425</v>
      </c>
      <c r="F214" s="7">
        <v>2016</v>
      </c>
      <c r="G214" s="9" t="s">
        <v>43</v>
      </c>
    </row>
    <row r="215" spans="3:7">
      <c r="C215" s="4" t="s">
        <v>63</v>
      </c>
      <c r="D215" s="5">
        <v>20929</v>
      </c>
      <c r="E215" s="6">
        <v>24817</v>
      </c>
      <c r="F215" s="7">
        <v>2016</v>
      </c>
      <c r="G215" s="9" t="s">
        <v>43</v>
      </c>
    </row>
    <row r="216" spans="3:7">
      <c r="C216" s="4" t="s">
        <v>64</v>
      </c>
      <c r="D216" s="5">
        <v>75601</v>
      </c>
      <c r="E216" s="6">
        <v>89687</v>
      </c>
      <c r="F216" s="7">
        <v>2016</v>
      </c>
      <c r="G216" s="9" t="s">
        <v>43</v>
      </c>
    </row>
    <row r="217" spans="3:7">
      <c r="C217" s="4" t="s">
        <v>65</v>
      </c>
      <c r="D217" s="5">
        <v>24955</v>
      </c>
      <c r="E217" s="6">
        <v>28940</v>
      </c>
      <c r="F217" s="7">
        <v>2016</v>
      </c>
      <c r="G217" s="9" t="s">
        <v>43</v>
      </c>
    </row>
    <row r="218" spans="3:7">
      <c r="C218" s="4" t="s">
        <v>66</v>
      </c>
      <c r="D218" s="5">
        <v>28649</v>
      </c>
      <c r="E218" s="6">
        <v>44780</v>
      </c>
      <c r="F218" s="7">
        <v>2016</v>
      </c>
      <c r="G218" s="9" t="s">
        <v>43</v>
      </c>
    </row>
    <row r="219" spans="3:7">
      <c r="C219" s="4" t="s">
        <v>67</v>
      </c>
      <c r="D219" s="5">
        <v>37016</v>
      </c>
      <c r="E219" s="6">
        <v>45209</v>
      </c>
      <c r="F219" s="7">
        <v>2016</v>
      </c>
      <c r="G219" s="9" t="s">
        <v>43</v>
      </c>
    </row>
    <row r="220" spans="3:7">
      <c r="C220" s="4" t="s">
        <v>68</v>
      </c>
      <c r="D220" s="5">
        <v>29985</v>
      </c>
      <c r="E220" s="6">
        <v>50750</v>
      </c>
      <c r="F220" s="7">
        <v>2016</v>
      </c>
      <c r="G220" s="9" t="s">
        <v>43</v>
      </c>
    </row>
    <row r="221" spans="3:7">
      <c r="C221" s="4" t="s">
        <v>69</v>
      </c>
      <c r="D221" s="5">
        <v>15531</v>
      </c>
      <c r="E221" s="6">
        <v>16874</v>
      </c>
      <c r="F221" s="7">
        <v>2016</v>
      </c>
      <c r="G221" s="9" t="s">
        <v>43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Ficha</vt:lpstr>
      <vt:lpstr>Numerador</vt:lpstr>
      <vt:lpstr>Denominador</vt:lpstr>
      <vt:lpstr>Presupuesto</vt:lpstr>
      <vt:lpstr>METADATA</vt:lpstr>
      <vt:lpstr>Tablas</vt:lpstr>
      <vt:lpstr>Graficas</vt:lpstr>
      <vt:lpstr>M_DATA</vt:lpstr>
      <vt:lpstr>M_DATA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Mayté Milián</dc:creator>
  <cp:lastModifiedBy>Camilo</cp:lastModifiedBy>
  <dcterms:created xsi:type="dcterms:W3CDTF">2017-10-12T17:04:00Z</dcterms:created>
  <cp:lastPrinted>2017-12-11T21:12:00Z</cp:lastPrinted>
  <dcterms:modified xsi:type="dcterms:W3CDTF">2017-12-16T00:20:49Z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2058-10.2.0.5965</vt:lpwstr>
  </property>
</Properties>
</file>