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bookViews>
    <workbookView xWindow="0" yWindow="0" windowWidth="28800" windowHeight="18000"/>
  </bookViews>
  <sheets>
    <sheet name="Restraint Calculator" sheetId="1" r:id="rId1"/>
    <sheet name="Soil Characteristics" sheetId="3" r:id="rId2"/>
    <sheet name="Thrust Block-Trench Type" sheetId="6" r:id="rId3"/>
    <sheet name="Guidance" sheetId="7" r:id="rId4"/>
  </sheets>
  <definedNames>
    <definedName name="_xlnm._FilterDatabase" localSheetId="0" hidden="1">'Restraint Calculator'!#REF!</definedName>
    <definedName name="_xlnm._FilterDatabase" localSheetId="1" hidden="1">'Soil Characteristics'!$B$5:$B$12</definedName>
    <definedName name="_xlnm._FilterDatabase" localSheetId="2" hidden="1">'Thrust Block-Trench Type'!$B$5:$B$5</definedName>
    <definedName name="_xlnm.Print_Area" localSheetId="0">'Restraint Calculator'!$B$66:$N$127</definedName>
  </definedNames>
  <calcPr calcId="162913"/>
</workbook>
</file>

<file path=xl/calcChain.xml><?xml version="1.0" encoding="utf-8"?>
<calcChain xmlns="http://schemas.openxmlformats.org/spreadsheetml/2006/main">
  <c r="G169" i="1" l="1"/>
  <c r="F169" i="1"/>
  <c r="E169" i="1"/>
  <c r="D169" i="1"/>
  <c r="C169" i="1"/>
  <c r="G168" i="1"/>
  <c r="F168" i="1"/>
  <c r="E168" i="1"/>
  <c r="D168" i="1"/>
  <c r="C168" i="1"/>
  <c r="G166" i="1"/>
  <c r="F166" i="1"/>
  <c r="E166" i="1"/>
  <c r="D166" i="1"/>
  <c r="C166" i="1"/>
  <c r="E165" i="1"/>
  <c r="F165" i="1" s="1"/>
  <c r="D165" i="1"/>
  <c r="C165" i="1"/>
  <c r="F164" i="1"/>
  <c r="E164" i="1"/>
  <c r="G164" i="1" s="1"/>
  <c r="G156" i="1" s="1"/>
  <c r="D164" i="1"/>
  <c r="C164" i="1"/>
  <c r="G163" i="1"/>
  <c r="E163" i="1"/>
  <c r="F163" i="1" s="1"/>
  <c r="F156" i="1" s="1"/>
  <c r="D163" i="1"/>
  <c r="C163" i="1"/>
  <c r="J162" i="1"/>
  <c r="E162" i="1"/>
  <c r="F162" i="1" s="1"/>
  <c r="F158" i="1" s="1"/>
  <c r="F157" i="1" s="1"/>
  <c r="D162" i="1"/>
  <c r="C162" i="1"/>
  <c r="J161" i="1"/>
  <c r="G161" i="1"/>
  <c r="F161" i="1"/>
  <c r="E161" i="1"/>
  <c r="D161" i="1"/>
  <c r="C161" i="1"/>
  <c r="J160" i="1"/>
  <c r="J159" i="1"/>
  <c r="G159" i="1"/>
  <c r="G160" i="1" s="1"/>
  <c r="F159" i="1"/>
  <c r="F160" i="1" s="1"/>
  <c r="E159" i="1"/>
  <c r="E160" i="1" s="1"/>
  <c r="D159" i="1"/>
  <c r="D160" i="1" s="1"/>
  <c r="C159" i="1"/>
  <c r="C160" i="1" s="1"/>
  <c r="J158" i="1"/>
  <c r="E158" i="1"/>
  <c r="E157" i="1" s="1"/>
  <c r="D158" i="1"/>
  <c r="D157" i="1" s="1"/>
  <c r="C158" i="1"/>
  <c r="J157" i="1"/>
  <c r="C157" i="1"/>
  <c r="J156" i="1"/>
  <c r="E156" i="1"/>
  <c r="D156" i="1"/>
  <c r="C156" i="1"/>
  <c r="E154" i="1"/>
  <c r="M130" i="1" s="1"/>
  <c r="M129" i="1" s="1"/>
  <c r="D154" i="1"/>
  <c r="L130" i="1" s="1"/>
  <c r="G153" i="1"/>
  <c r="G154" i="1" s="1"/>
  <c r="F153" i="1"/>
  <c r="E153" i="1"/>
  <c r="E150" i="1" s="1"/>
  <c r="E149" i="1" s="1"/>
  <c r="D153" i="1"/>
  <c r="C153" i="1"/>
  <c r="C154" i="1" s="1"/>
  <c r="D150" i="1"/>
  <c r="D149" i="1" s="1"/>
  <c r="D128" i="1" s="1"/>
  <c r="C150" i="1"/>
  <c r="C149" i="1"/>
  <c r="C128" i="1" s="1"/>
  <c r="D136" i="1"/>
  <c r="R132" i="1"/>
  <c r="Q132" i="1"/>
  <c r="P132" i="1"/>
  <c r="O132" i="1"/>
  <c r="N132" i="1"/>
  <c r="M132" i="1"/>
  <c r="L132" i="1"/>
  <c r="K132" i="1"/>
  <c r="J132" i="1"/>
  <c r="C131" i="1"/>
  <c r="N130" i="1"/>
  <c r="N129" i="1" s="1"/>
  <c r="K130" i="1"/>
  <c r="J130" i="1"/>
  <c r="J129" i="1" s="1"/>
  <c r="D130" i="1"/>
  <c r="D131" i="1" s="1"/>
  <c r="C130" i="1"/>
  <c r="L129" i="1"/>
  <c r="K129" i="1"/>
  <c r="E48" i="1"/>
  <c r="E46" i="1"/>
  <c r="H24" i="1"/>
  <c r="G24" i="1"/>
  <c r="F24" i="1"/>
  <c r="E24" i="1"/>
  <c r="D24" i="1"/>
  <c r="P23" i="1"/>
  <c r="O23" i="1"/>
  <c r="N23" i="1"/>
  <c r="M23" i="1"/>
  <c r="L23" i="1"/>
  <c r="J23" i="1"/>
  <c r="H23" i="1"/>
  <c r="G23" i="1"/>
  <c r="F23" i="1"/>
  <c r="E23" i="1"/>
  <c r="D23" i="1"/>
  <c r="P22" i="1"/>
  <c r="O22" i="1"/>
  <c r="N22" i="1"/>
  <c r="M22" i="1"/>
  <c r="L22" i="1"/>
  <c r="J22" i="1"/>
  <c r="H22" i="1"/>
  <c r="G22" i="1"/>
  <c r="F22" i="1"/>
  <c r="E22" i="1"/>
  <c r="D22" i="1"/>
  <c r="P21" i="1"/>
  <c r="O21" i="1"/>
  <c r="N21" i="1"/>
  <c r="M21" i="1"/>
  <c r="L21" i="1"/>
  <c r="J21" i="1"/>
  <c r="H21" i="1"/>
  <c r="G21" i="1"/>
  <c r="F21" i="1"/>
  <c r="E21" i="1"/>
  <c r="D21" i="1"/>
  <c r="P20" i="1"/>
  <c r="O20" i="1"/>
  <c r="N20" i="1"/>
  <c r="M20" i="1"/>
  <c r="L20" i="1"/>
  <c r="J20" i="1"/>
  <c r="H20" i="1"/>
  <c r="G20" i="1"/>
  <c r="F20" i="1"/>
  <c r="E20" i="1"/>
  <c r="D20" i="1"/>
  <c r="D49" i="1" l="1"/>
  <c r="C134" i="1"/>
  <c r="C129" i="1"/>
  <c r="D48" i="1"/>
  <c r="D46" i="1"/>
  <c r="C139" i="1"/>
  <c r="D47" i="1"/>
  <c r="L140" i="1"/>
  <c r="E145" i="1"/>
  <c r="F90" i="1"/>
  <c r="F89" i="1"/>
  <c r="F93" i="1"/>
  <c r="F91" i="1"/>
  <c r="D129" i="1"/>
  <c r="D139" i="1"/>
  <c r="E47" i="1"/>
  <c r="D134" i="1"/>
  <c r="E49" i="1"/>
  <c r="F99" i="1"/>
  <c r="F97" i="1"/>
  <c r="F95" i="1"/>
  <c r="E128" i="1"/>
  <c r="F130" i="1"/>
  <c r="F81" i="1"/>
  <c r="C141" i="1"/>
  <c r="C142" i="1" s="1"/>
  <c r="C136" i="1"/>
  <c r="F75" i="1"/>
  <c r="F71" i="1"/>
  <c r="C145" i="1"/>
  <c r="F150" i="1"/>
  <c r="F149" i="1" s="1"/>
  <c r="M140" i="1" s="1"/>
  <c r="F154" i="1"/>
  <c r="P130" i="1" s="1"/>
  <c r="P129" i="1" s="1"/>
  <c r="F87" i="1"/>
  <c r="F83" i="1"/>
  <c r="F98" i="1"/>
  <c r="J140" i="1"/>
  <c r="F73" i="1" s="1"/>
  <c r="D141" i="1"/>
  <c r="D142" i="1" s="1"/>
  <c r="F86" i="1"/>
  <c r="F96" i="1"/>
  <c r="F78" i="1"/>
  <c r="E130" i="1"/>
  <c r="D145" i="1"/>
  <c r="K140" i="1"/>
  <c r="G162" i="1"/>
  <c r="G158" i="1" s="1"/>
  <c r="G157" i="1" s="1"/>
  <c r="G165" i="1"/>
  <c r="F111" i="1" l="1"/>
  <c r="F109" i="1"/>
  <c r="F107" i="1"/>
  <c r="N111" i="1"/>
  <c r="N108" i="1"/>
  <c r="F108" i="1"/>
  <c r="F110" i="1"/>
  <c r="N107" i="1"/>
  <c r="N109" i="1"/>
  <c r="M141" i="1"/>
  <c r="N110" i="1" s="1"/>
  <c r="Q131" i="1"/>
  <c r="P131" i="1"/>
  <c r="E134" i="1"/>
  <c r="E139" i="1"/>
  <c r="E129" i="1"/>
  <c r="M47" i="1"/>
  <c r="M49" i="1"/>
  <c r="M48" i="1"/>
  <c r="M46" i="1"/>
  <c r="F64" i="1"/>
  <c r="E146" i="1"/>
  <c r="N64" i="1" s="1"/>
  <c r="L47" i="1"/>
  <c r="L48" i="1"/>
  <c r="L49" i="1"/>
  <c r="L46" i="1"/>
  <c r="F77" i="1"/>
  <c r="K141" i="1"/>
  <c r="M131" i="1"/>
  <c r="L131" i="1"/>
  <c r="F84" i="1"/>
  <c r="F80" i="1"/>
  <c r="F85" i="1"/>
  <c r="C146" i="1"/>
  <c r="L64" i="1" s="1"/>
  <c r="D64" i="1"/>
  <c r="F128" i="1"/>
  <c r="D135" i="1"/>
  <c r="E55" i="1"/>
  <c r="E52" i="1"/>
  <c r="E53" i="1"/>
  <c r="E54" i="1"/>
  <c r="N131" i="1"/>
  <c r="L141" i="1"/>
  <c r="O131" i="1"/>
  <c r="D61" i="1"/>
  <c r="D59" i="1"/>
  <c r="C140" i="1"/>
  <c r="D58" i="1"/>
  <c r="D60" i="1"/>
  <c r="D55" i="1"/>
  <c r="D53" i="1"/>
  <c r="C135" i="1"/>
  <c r="D54" i="1"/>
  <c r="D52" i="1"/>
  <c r="D146" i="1"/>
  <c r="M64" i="1" s="1"/>
  <c r="E64" i="1"/>
  <c r="F131" i="1"/>
  <c r="F136" i="1"/>
  <c r="F141" i="1"/>
  <c r="F142" i="1" s="1"/>
  <c r="F145" i="1"/>
  <c r="R130" i="1"/>
  <c r="R129" i="1" s="1"/>
  <c r="Q130" i="1"/>
  <c r="Q129" i="1" s="1"/>
  <c r="G130" i="1"/>
  <c r="G150" i="1"/>
  <c r="G149" i="1" s="1"/>
  <c r="E141" i="1"/>
  <c r="E142" i="1" s="1"/>
  <c r="E131" i="1"/>
  <c r="F48" i="1" s="1"/>
  <c r="E136" i="1"/>
  <c r="J131" i="1"/>
  <c r="K131" i="1"/>
  <c r="F74" i="1"/>
  <c r="J141" i="1"/>
  <c r="F72" i="1"/>
  <c r="F79" i="1"/>
  <c r="O130" i="1"/>
  <c r="O129" i="1" s="1"/>
  <c r="D140" i="1"/>
  <c r="E58" i="1"/>
  <c r="E60" i="1"/>
  <c r="E59" i="1"/>
  <c r="E61" i="1"/>
  <c r="F92" i="1"/>
  <c r="G145" i="1" l="1"/>
  <c r="G128" i="1"/>
  <c r="N140" i="1"/>
  <c r="L54" i="1"/>
  <c r="L53" i="1"/>
  <c r="L55" i="1"/>
  <c r="L52" i="1"/>
  <c r="N79" i="1"/>
  <c r="N86" i="1"/>
  <c r="N80" i="1"/>
  <c r="N77" i="1"/>
  <c r="N87" i="1"/>
  <c r="N84" i="1"/>
  <c r="N85" i="1"/>
  <c r="N81" i="1"/>
  <c r="N78" i="1"/>
  <c r="N83" i="1"/>
  <c r="N49" i="1"/>
  <c r="N48" i="1"/>
  <c r="N46" i="1"/>
  <c r="N47" i="1"/>
  <c r="F49" i="1"/>
  <c r="F123" i="1"/>
  <c r="F121" i="1"/>
  <c r="F119" i="1"/>
  <c r="F120" i="1"/>
  <c r="F122" i="1"/>
  <c r="E140" i="1"/>
  <c r="F60" i="1"/>
  <c r="F58" i="1"/>
  <c r="F59" i="1"/>
  <c r="F61" i="1"/>
  <c r="F146" i="1"/>
  <c r="O64" i="1" s="1"/>
  <c r="G64" i="1"/>
  <c r="F139" i="1"/>
  <c r="G49" i="1"/>
  <c r="G48" i="1"/>
  <c r="G46" i="1"/>
  <c r="F134" i="1"/>
  <c r="F129" i="1"/>
  <c r="G47" i="1"/>
  <c r="M60" i="1"/>
  <c r="M58" i="1"/>
  <c r="M59" i="1"/>
  <c r="M61" i="1"/>
  <c r="N73" i="1"/>
  <c r="N75" i="1"/>
  <c r="N72" i="1"/>
  <c r="N74" i="1"/>
  <c r="N71" i="1"/>
  <c r="G141" i="1"/>
  <c r="G142" i="1" s="1"/>
  <c r="G136" i="1"/>
  <c r="G131" i="1"/>
  <c r="L58" i="1"/>
  <c r="L61" i="1"/>
  <c r="L60" i="1"/>
  <c r="L59" i="1"/>
  <c r="N96" i="1"/>
  <c r="N99" i="1"/>
  <c r="N91" i="1"/>
  <c r="N90" i="1"/>
  <c r="N97" i="1"/>
  <c r="N98" i="1"/>
  <c r="N92" i="1"/>
  <c r="N95" i="1"/>
  <c r="N89" i="1"/>
  <c r="N93" i="1"/>
  <c r="F46" i="1"/>
  <c r="F47" i="1"/>
  <c r="M54" i="1"/>
  <c r="M52" i="1"/>
  <c r="M55" i="1"/>
  <c r="M53" i="1"/>
  <c r="F104" i="1"/>
  <c r="F102" i="1"/>
  <c r="F105" i="1"/>
  <c r="N102" i="1"/>
  <c r="N104" i="1"/>
  <c r="N101" i="1"/>
  <c r="N105" i="1"/>
  <c r="N103" i="1"/>
  <c r="F101" i="1"/>
  <c r="F103" i="1"/>
  <c r="F116" i="1"/>
  <c r="F114" i="1"/>
  <c r="F115" i="1"/>
  <c r="F117" i="1"/>
  <c r="F113" i="1"/>
  <c r="F54" i="1"/>
  <c r="F52" i="1"/>
  <c r="F53" i="1"/>
  <c r="E135" i="1"/>
  <c r="F55" i="1"/>
  <c r="G53" i="1" l="1"/>
  <c r="G52" i="1"/>
  <c r="F135" i="1"/>
  <c r="G55" i="1"/>
  <c r="G54" i="1"/>
  <c r="G61" i="1"/>
  <c r="G60" i="1"/>
  <c r="G59" i="1"/>
  <c r="F140" i="1"/>
  <c r="G58" i="1"/>
  <c r="R131" i="1"/>
  <c r="N141" i="1"/>
  <c r="N53" i="1"/>
  <c r="N52" i="1"/>
  <c r="N54" i="1"/>
  <c r="N55" i="1"/>
  <c r="H49" i="1"/>
  <c r="H48" i="1"/>
  <c r="H46" i="1"/>
  <c r="G134" i="1"/>
  <c r="G129" i="1"/>
  <c r="G139" i="1"/>
  <c r="H47" i="1"/>
  <c r="O49" i="1"/>
  <c r="O48" i="1"/>
  <c r="O46" i="1"/>
  <c r="O47" i="1"/>
  <c r="N59" i="1"/>
  <c r="N58" i="1"/>
  <c r="N61" i="1"/>
  <c r="N60" i="1"/>
  <c r="G146" i="1"/>
  <c r="P64" i="1" s="1"/>
  <c r="H64" i="1"/>
  <c r="H55" i="1" l="1"/>
  <c r="H53" i="1"/>
  <c r="H52" i="1"/>
  <c r="G135" i="1"/>
  <c r="H54" i="1"/>
  <c r="N119" i="1"/>
  <c r="N121" i="1"/>
  <c r="N122" i="1"/>
  <c r="N114" i="1"/>
  <c r="N115" i="1"/>
  <c r="N123" i="1"/>
  <c r="N117" i="1"/>
  <c r="N120" i="1"/>
  <c r="N116" i="1"/>
  <c r="N113" i="1"/>
  <c r="O55" i="1"/>
  <c r="O53" i="1"/>
  <c r="O52" i="1"/>
  <c r="O54" i="1"/>
  <c r="P49" i="1"/>
  <c r="P47" i="1"/>
  <c r="P48" i="1"/>
  <c r="P46" i="1"/>
  <c r="O61" i="1"/>
  <c r="O59" i="1"/>
  <c r="O60" i="1"/>
  <c r="O58" i="1"/>
  <c r="H61" i="1"/>
  <c r="H59" i="1"/>
  <c r="H60" i="1"/>
  <c r="G140" i="1"/>
  <c r="H58" i="1"/>
  <c r="P52" i="1" l="1"/>
  <c r="P54" i="1"/>
  <c r="P53" i="1"/>
  <c r="P55" i="1"/>
  <c r="P61" i="1"/>
  <c r="P58" i="1"/>
  <c r="P60" i="1"/>
  <c r="P59" i="1"/>
</calcChain>
</file>

<file path=xl/comments1.xml><?xml version="1.0" encoding="utf-8"?>
<comments xmlns="http://schemas.openxmlformats.org/spreadsheetml/2006/main">
  <authors>
    <author>kaneap</author>
  </authors>
  <commentList>
    <comment ref="E8" authorId="0" shapeId="0">
      <text>
        <r>
          <rPr>
            <b/>
            <sz val="8"/>
            <color indexed="81"/>
            <rFont val="Tahoma"/>
            <family val="2"/>
          </rPr>
          <t>kaneap:</t>
        </r>
        <r>
          <rPr>
            <sz val="8"/>
            <color indexed="81"/>
            <rFont val="Tahoma"/>
            <family val="2"/>
          </rPr>
          <t xml:space="preserve">
Input Working Pressure
</t>
        </r>
      </text>
    </comment>
    <comment ref="E14" authorId="0" shapeId="0">
      <text>
        <r>
          <rPr>
            <b/>
            <sz val="8"/>
            <color indexed="81"/>
            <rFont val="Tahoma"/>
            <family val="2"/>
          </rPr>
          <t>kaneap:</t>
        </r>
        <r>
          <rPr>
            <sz val="8"/>
            <color indexed="81"/>
            <rFont val="Tahoma"/>
            <family val="2"/>
          </rPr>
          <t xml:space="preserve">
Input Safety Factor</t>
        </r>
      </text>
    </comment>
    <comment ref="E29" authorId="0" shapeId="0">
      <text>
        <r>
          <rPr>
            <b/>
            <sz val="8"/>
            <color indexed="81"/>
            <rFont val="Tahoma"/>
            <family val="2"/>
          </rPr>
          <t>kaneap:</t>
        </r>
        <r>
          <rPr>
            <sz val="8"/>
            <color indexed="81"/>
            <rFont val="Tahoma"/>
            <family val="2"/>
          </rPr>
          <t xml:space="preserve">
Input Working Pressure</t>
        </r>
      </text>
    </comment>
    <comment ref="E31" authorId="0" shapeId="0">
      <text>
        <r>
          <rPr>
            <b/>
            <sz val="8"/>
            <color indexed="81"/>
            <rFont val="Tahoma"/>
            <family val="2"/>
          </rPr>
          <t>kaneap:</t>
        </r>
        <r>
          <rPr>
            <sz val="8"/>
            <color indexed="81"/>
            <rFont val="Tahoma"/>
            <family val="2"/>
          </rPr>
          <t xml:space="preserve">
Input Depth to Top Of Pipe</t>
        </r>
      </text>
    </comment>
    <comment ref="E35" authorId="0" shapeId="0">
      <text>
        <r>
          <rPr>
            <b/>
            <sz val="8"/>
            <color indexed="81"/>
            <rFont val="Tahoma"/>
            <family val="2"/>
          </rPr>
          <t>kaneap:</t>
        </r>
        <r>
          <rPr>
            <sz val="8"/>
            <color indexed="81"/>
            <rFont val="Tahoma"/>
            <family val="2"/>
          </rPr>
          <t xml:space="preserve">
Select Trench Type (refer to "Trench Type" tab for more information)</t>
        </r>
      </text>
    </comment>
    <comment ref="E37" authorId="0" shapeId="0">
      <text>
        <r>
          <rPr>
            <b/>
            <sz val="8"/>
            <color indexed="81"/>
            <rFont val="Tahoma"/>
            <family val="2"/>
          </rPr>
          <t>kaneap:</t>
        </r>
        <r>
          <rPr>
            <sz val="8"/>
            <color indexed="81"/>
            <rFont val="Tahoma"/>
            <family val="2"/>
          </rPr>
          <t xml:space="preserve">
Input Safety Factor</t>
        </r>
      </text>
    </comment>
  </commentList>
</comments>
</file>

<file path=xl/sharedStrings.xml><?xml version="1.0" encoding="utf-8"?>
<sst xmlns="http://schemas.openxmlformats.org/spreadsheetml/2006/main" count="284" uniqueCount="147">
  <si>
    <t>8"</t>
  </si>
  <si>
    <t>16"</t>
  </si>
  <si>
    <t>6"</t>
  </si>
  <si>
    <t>12"</t>
  </si>
  <si>
    <t>10"</t>
  </si>
  <si>
    <t>Area (in^2)</t>
  </si>
  <si>
    <t>Thrust Block Sizing</t>
  </si>
  <si>
    <t>Soil Bearing Capacity (psf)</t>
  </si>
  <si>
    <t>Type Fitting</t>
  </si>
  <si>
    <t>Tee or Dead End</t>
  </si>
  <si>
    <t>90˚ Bend</t>
  </si>
  <si>
    <t>45˚ Bend</t>
  </si>
  <si>
    <t>Horizontal Bearing Strengths</t>
  </si>
  <si>
    <t>Soil</t>
  </si>
  <si>
    <t>Muck</t>
  </si>
  <si>
    <t>Soft Clay</t>
  </si>
  <si>
    <t>Silt</t>
  </si>
  <si>
    <t>Sandy Silt</t>
  </si>
  <si>
    <t>Sand</t>
  </si>
  <si>
    <t>Sandy Clay</t>
  </si>
  <si>
    <t>Hard Clay</t>
  </si>
  <si>
    <t>Bearing Strength(psf)</t>
  </si>
  <si>
    <t>C</t>
  </si>
  <si>
    <t>W</t>
  </si>
  <si>
    <t>D'</t>
  </si>
  <si>
    <t>Ap (bends)</t>
  </si>
  <si>
    <t>We</t>
  </si>
  <si>
    <t>Pp</t>
  </si>
  <si>
    <t>Soil Parameters</t>
  </si>
  <si>
    <t>Clay 1</t>
  </si>
  <si>
    <t>Silt 1</t>
  </si>
  <si>
    <t>Clay 2</t>
  </si>
  <si>
    <t>Silt 2</t>
  </si>
  <si>
    <t>Coh-Gran</t>
  </si>
  <si>
    <t>Sand/Silt</t>
  </si>
  <si>
    <t>Good Sand/Gravel</t>
  </si>
  <si>
    <t>Clay of Medium to Low Plasticity, LL&lt;50</t>
  </si>
  <si>
    <t>Soil Description</t>
  </si>
  <si>
    <t>Silt of Medium to Low Plasticity, LL&lt;50</t>
  </si>
  <si>
    <t>Clay of Medium to Low Plasticity w/Sand or Gravel</t>
  </si>
  <si>
    <t>Silt of Medium to Low Plasticity w/Sand or Gravel</t>
  </si>
  <si>
    <t>Cohesive Granular Soils</t>
  </si>
  <si>
    <t>Sand or Gravel w/Silt</t>
  </si>
  <si>
    <t>Clean Sand or Gravel</t>
  </si>
  <si>
    <t>Φ (deg)</t>
  </si>
  <si>
    <r>
      <t>f</t>
    </r>
    <r>
      <rPr>
        <vertAlign val="subscript"/>
        <sz val="10"/>
        <rFont val="Arial"/>
        <family val="2"/>
      </rPr>
      <t>Φ</t>
    </r>
  </si>
  <si>
    <r>
      <t>C</t>
    </r>
    <r>
      <rPr>
        <vertAlign val="subscript"/>
        <sz val="10"/>
        <rFont val="Arial"/>
        <family val="2"/>
      </rPr>
      <t>s</t>
    </r>
    <r>
      <rPr>
        <sz val="10"/>
        <rFont val="Arial"/>
        <family val="2"/>
      </rPr>
      <t xml:space="preserve"> (psf)</t>
    </r>
  </si>
  <si>
    <r>
      <t>f</t>
    </r>
    <r>
      <rPr>
        <vertAlign val="subscript"/>
        <sz val="10"/>
        <rFont val="Arial"/>
        <family val="2"/>
      </rPr>
      <t>c</t>
    </r>
  </si>
  <si>
    <r>
      <t>γ</t>
    </r>
    <r>
      <rPr>
        <sz val="10"/>
        <rFont val="Arial"/>
        <family val="2"/>
      </rPr>
      <t xml:space="preserve"> (pcf)</t>
    </r>
  </si>
  <si>
    <r>
      <t>K</t>
    </r>
    <r>
      <rPr>
        <vertAlign val="subscript"/>
        <sz val="10"/>
        <rFont val="Arial"/>
        <family val="2"/>
      </rPr>
      <t>n</t>
    </r>
  </si>
  <si>
    <t>Bends - Horizontal</t>
  </si>
  <si>
    <t>Bends - Vertical (Down)</t>
  </si>
  <si>
    <t>Bends - Vertical (Up)</t>
  </si>
  <si>
    <t>Horizontal - Bends</t>
  </si>
  <si>
    <t>Wp</t>
  </si>
  <si>
    <t>Ww</t>
  </si>
  <si>
    <t>Depth to T.O.P. (ft)</t>
  </si>
  <si>
    <t>H</t>
  </si>
  <si>
    <r>
      <t>tan(</t>
    </r>
    <r>
      <rPr>
        <sz val="10"/>
        <rFont val="Arial"/>
        <family val="2"/>
      </rPr>
      <t>δ</t>
    </r>
    <r>
      <rPr>
        <sz val="10"/>
        <rFont val="Arial"/>
        <family val="2"/>
      </rPr>
      <t>)</t>
    </r>
  </si>
  <si>
    <t>δ</t>
  </si>
  <si>
    <t>Vertical (Down)</t>
  </si>
  <si>
    <t>Vertical (Up)</t>
  </si>
  <si>
    <r>
      <t>H</t>
    </r>
    <r>
      <rPr>
        <vertAlign val="subscript"/>
        <sz val="10"/>
        <rFont val="Arial"/>
        <family val="2"/>
      </rPr>
      <t>c</t>
    </r>
  </si>
  <si>
    <r>
      <t>N</t>
    </r>
    <r>
      <rPr>
        <vertAlign val="subscript"/>
        <sz val="10"/>
        <rFont val="Arial"/>
        <family val="2"/>
      </rPr>
      <t>Φ</t>
    </r>
  </si>
  <si>
    <r>
      <t>SQRT N</t>
    </r>
    <r>
      <rPr>
        <vertAlign val="subscript"/>
        <sz val="10"/>
        <rFont val="Arial"/>
        <family val="2"/>
      </rPr>
      <t>Φ</t>
    </r>
  </si>
  <si>
    <t xml:space="preserve">Restrained Length (ft) = </t>
  </si>
  <si>
    <r>
      <t>F</t>
    </r>
    <r>
      <rPr>
        <vertAlign val="subscript"/>
        <sz val="10"/>
        <rFont val="Arial"/>
        <family val="2"/>
      </rPr>
      <t>f</t>
    </r>
    <r>
      <rPr>
        <sz val="10"/>
        <rFont val="Arial"/>
        <family val="2"/>
      </rPr>
      <t xml:space="preserve"> + 1/2(R</t>
    </r>
    <r>
      <rPr>
        <vertAlign val="subscript"/>
        <sz val="10"/>
        <rFont val="Arial"/>
        <family val="2"/>
      </rPr>
      <t>s</t>
    </r>
    <r>
      <rPr>
        <sz val="10"/>
        <rFont val="Arial"/>
        <family val="2"/>
      </rPr>
      <t>)</t>
    </r>
  </si>
  <si>
    <t>Dead End</t>
  </si>
  <si>
    <r>
      <t>S</t>
    </r>
    <r>
      <rPr>
        <vertAlign val="subscript"/>
        <sz val="10"/>
        <rFont val="Arial"/>
        <family val="2"/>
      </rPr>
      <t>f</t>
    </r>
    <r>
      <rPr>
        <sz val="10"/>
        <rFont val="Arial"/>
        <family val="2"/>
      </rPr>
      <t>PA tan(</t>
    </r>
    <r>
      <rPr>
        <sz val="10"/>
        <rFont val="Arial"/>
        <family val="2"/>
      </rPr>
      <t>Θ</t>
    </r>
    <r>
      <rPr>
        <sz val="10"/>
        <rFont val="Arial"/>
        <family val="2"/>
      </rPr>
      <t>/2)</t>
    </r>
  </si>
  <si>
    <r>
      <t>F</t>
    </r>
    <r>
      <rPr>
        <vertAlign val="subscript"/>
        <sz val="10"/>
        <rFont val="Arial"/>
        <family val="2"/>
      </rPr>
      <t>f</t>
    </r>
  </si>
  <si>
    <r>
      <t>S</t>
    </r>
    <r>
      <rPr>
        <vertAlign val="subscript"/>
        <sz val="10"/>
        <rFont val="Arial"/>
        <family val="2"/>
      </rPr>
      <t>f</t>
    </r>
    <r>
      <rPr>
        <sz val="10"/>
        <rFont val="Arial"/>
        <family val="2"/>
      </rPr>
      <t>PA</t>
    </r>
  </si>
  <si>
    <t>Fs = Ff</t>
  </si>
  <si>
    <t>8 x 6</t>
  </si>
  <si>
    <t>8 x 8</t>
  </si>
  <si>
    <t>12 x 12</t>
  </si>
  <si>
    <t>16 x 12</t>
  </si>
  <si>
    <t>16 x 16</t>
  </si>
  <si>
    <t>6 x 6</t>
  </si>
  <si>
    <t>Total Length (ft) Between Unrestrained Joints of Tee</t>
  </si>
  <si>
    <t>Restrained Length (ft) of Branch</t>
  </si>
  <si>
    <t>Restrained Length (ft) of branch</t>
  </si>
  <si>
    <t>Tees</t>
  </si>
  <si>
    <t>10 x 8</t>
  </si>
  <si>
    <t>10 x 10</t>
  </si>
  <si>
    <t>12 x 10</t>
  </si>
  <si>
    <r>
      <t>S</t>
    </r>
    <r>
      <rPr>
        <vertAlign val="subscript"/>
        <sz val="10"/>
        <rFont val="Arial"/>
        <family val="2"/>
      </rPr>
      <t>f</t>
    </r>
    <r>
      <rPr>
        <sz val="10"/>
        <rFont val="Arial"/>
        <family val="2"/>
      </rPr>
      <t>PA</t>
    </r>
    <r>
      <rPr>
        <vertAlign val="subscript"/>
        <sz val="10"/>
        <rFont val="Arial"/>
        <family val="2"/>
      </rPr>
      <t>b</t>
    </r>
    <r>
      <rPr>
        <sz val="10"/>
        <rFont val="Arial"/>
        <family val="2"/>
      </rPr>
      <t xml:space="preserve"> - 1/2R</t>
    </r>
    <r>
      <rPr>
        <vertAlign val="subscript"/>
        <sz val="10"/>
        <rFont val="Arial"/>
        <family val="2"/>
      </rPr>
      <t>s</t>
    </r>
    <r>
      <rPr>
        <sz val="10"/>
        <rFont val="Arial"/>
        <family val="2"/>
      </rPr>
      <t>L</t>
    </r>
    <r>
      <rPr>
        <vertAlign val="subscript"/>
        <sz val="10"/>
        <rFont val="Arial"/>
        <family val="2"/>
      </rPr>
      <t>r</t>
    </r>
  </si>
  <si>
    <r>
      <t>A</t>
    </r>
    <r>
      <rPr>
        <vertAlign val="subscript"/>
        <sz val="10"/>
        <rFont val="Arial"/>
        <family val="2"/>
      </rPr>
      <t>b</t>
    </r>
    <r>
      <rPr>
        <sz val="10"/>
        <rFont val="Arial"/>
        <family val="2"/>
      </rPr>
      <t xml:space="preserve"> (in^2)</t>
    </r>
  </si>
  <si>
    <t>D'r</t>
  </si>
  <si>
    <t>(Fs)b</t>
  </si>
  <si>
    <t>Rs = KnPpD'r</t>
  </si>
  <si>
    <t>Rs</t>
  </si>
  <si>
    <t>Run x Branch</t>
  </si>
  <si>
    <t>6" Run</t>
  </si>
  <si>
    <t>8" Run</t>
  </si>
  <si>
    <t>10" Run</t>
  </si>
  <si>
    <t>12" Run</t>
  </si>
  <si>
    <t>16" Run</t>
  </si>
  <si>
    <t xml:space="preserve">L = </t>
  </si>
  <si>
    <t>Safety Factor</t>
  </si>
  <si>
    <t>22.5˚ Bend</t>
  </si>
  <si>
    <t>11.25˚ Bend</t>
  </si>
  <si>
    <t>Horizontal Thrust Blocks</t>
  </si>
  <si>
    <t>Gravity Thrust Blocks</t>
  </si>
  <si>
    <t>Min. Restrained Joint Lengths (ft) Both Sides of Fitting</t>
  </si>
  <si>
    <t>Bends (Horizontal &amp; Vertical)</t>
  </si>
  <si>
    <t>Type Fitting (Tee Run x Branch)</t>
  </si>
  <si>
    <t>Restrained Joint Lengths</t>
  </si>
  <si>
    <t>Trench Type</t>
  </si>
  <si>
    <t>Trench Description</t>
  </si>
  <si>
    <t>Pipe bedded in 4 inches minimum loose soil. Backfill lightly consolidated to top of the pipe.</t>
  </si>
  <si>
    <t>Pipe bedded in sand, gravel, or crushed stone to a depth of 1/8 pipe diameter, 4 inch minimum. Backfill compacted to top of pipe.</t>
  </si>
  <si>
    <t>Pipe bedded in compacted granular material to the centerline of the pipe, 4 inches minimum under the pipe. Compacted granular or select material to top of pipe.</t>
  </si>
  <si>
    <t>Trench Type 3</t>
  </si>
  <si>
    <t>Trench Type 4</t>
  </si>
  <si>
    <t>Trench Type 5</t>
  </si>
  <si>
    <t>Flat-bottom trench.  Backfill lightly consolidated to centerline of pipe.</t>
  </si>
  <si>
    <t>Trench Type 2</t>
  </si>
  <si>
    <t>Volume of Concrete (cubic yards)</t>
  </si>
  <si>
    <t>Thrust Blocks</t>
  </si>
  <si>
    <t>=</t>
  </si>
  <si>
    <t>Auto Updated Value</t>
  </si>
  <si>
    <t>Design Pressure (psi)</t>
  </si>
  <si>
    <t>Design Pressure  = Operating Pressure + 100 psi Surge Allowance</t>
  </si>
  <si>
    <t>Bearing Area (square feet)</t>
  </si>
  <si>
    <t>*Bearing Area = L x L</t>
  </si>
  <si>
    <t>Fs = Ff (Polyethylene Encasement)</t>
  </si>
  <si>
    <t>No Polyethylene Encasement</t>
  </si>
  <si>
    <t>Polyethylene Encasement</t>
  </si>
  <si>
    <t>Soil Type</t>
  </si>
  <si>
    <t xml:space="preserve">Trench Type </t>
  </si>
  <si>
    <t>Sand or Gravel With Silt</t>
  </si>
  <si>
    <t>Ap (Tee)</t>
  </si>
  <si>
    <t>Bends</t>
  </si>
  <si>
    <t>Horizontal</t>
  </si>
  <si>
    <t>Joint Restraint (Bends)</t>
  </si>
  <si>
    <t>Joint Restraint (Tees)</t>
  </si>
  <si>
    <t>Dead Ends</t>
  </si>
  <si>
    <t>Pipe bedded in sand, gravel, or crushed stone to a depth of 1/8 pipe diameter, 4 inch min. Backfill compacted to top of pipe.</t>
  </si>
  <si>
    <t>Input Value</t>
  </si>
  <si>
    <t>Wm (concrete) =</t>
  </si>
  <si>
    <t>Engineering has developed an Excel Calculator (Rows 27 - 64) that will let you know if there is enough buried straight pipe on the downstream side of a valve that will resist the upstream pressure when the valve is closed.  Use the "Deadend" Fitting Type for the closed valve situation.   It will give you an answer when you enter the following parameters:</t>
  </si>
  <si>
    <t>diameter of main</t>
  </si>
  <si>
    <t>length of piping that will provide restraint</t>
  </si>
  <si>
    <t>highest operating pressure on the pressure side of the valve</t>
  </si>
  <si>
    <t>depth of bury</t>
  </si>
  <si>
    <t>safety factor</t>
  </si>
  <si>
    <t xml:space="preserve">The tool uses a conservative soil designation which also provides some additional safety factor.  No need to analyze the soil type.  It also uses a Class 4 Trench Type since it has been compacted over time.  I recommend always using a 1.5 safety factor due to any unknown or length or depth error measurement(s).  The only other parameter that needs to be field estimated is the Surge Allowance.  If the piping location is not near a WTP, Booster Station, or PRV Station, my advice is to use "0" Surge Pressure as long as we perform the hydrant replacement within 4-6 hours.  The longer the time, the more chance for a surge wave to push against the valve.  If we are close to a Station, we should add at least 50 psi to the operating psi  since the probability of experiencing a power outage during the hydrant replacement is 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</si>
</sst>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0"/>
      <name val="Arial"/>
    </font>
    <font>
      <sz val="10"/>
      <name val="Arial"/>
      <family val="2"/>
    </font>
    <font>
      <b/>
      <sz val="12"/>
      <name val="Arial"/>
      <family val="2"/>
    </font>
    <font>
      <b/>
      <u/>
      <sz val="12"/>
      <name val="Arial"/>
      <family val="2"/>
    </font>
    <font>
      <b/>
      <sz val="9"/>
      <name val="Arial"/>
      <family val="2"/>
    </font>
    <font>
      <b/>
      <sz val="14"/>
      <name val="Arial"/>
      <family val="2"/>
    </font>
    <font>
      <sz val="8"/>
      <name val="Arial"/>
      <family val="2"/>
    </font>
    <font>
      <b/>
      <sz val="10"/>
      <name val="Arial"/>
      <family val="2"/>
    </font>
    <font>
      <sz val="12"/>
      <name val="Arial"/>
      <family val="2"/>
    </font>
    <font>
      <sz val="10"/>
      <name val="Arial"/>
      <family val="2"/>
    </font>
    <font>
      <sz val="8"/>
      <color indexed="81"/>
      <name val="Tahoma"/>
      <family val="2"/>
    </font>
    <font>
      <b/>
      <sz val="8"/>
      <color indexed="81"/>
      <name val="Tahoma"/>
      <family val="2"/>
    </font>
    <font>
      <b/>
      <sz val="10"/>
      <name val="Arial"/>
      <family val="2"/>
    </font>
    <font>
      <vertAlign val="subscript"/>
      <sz val="10"/>
      <name val="Arial"/>
      <family val="2"/>
    </font>
    <font>
      <b/>
      <u/>
      <sz val="14"/>
      <name val="Arial"/>
      <family val="2"/>
    </font>
    <font>
      <sz val="14"/>
      <name val="Arial"/>
      <family val="2"/>
    </font>
    <font>
      <sz val="9"/>
      <name val="Arial"/>
      <family val="2"/>
    </font>
  </fonts>
  <fills count="10">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13"/>
        <bgColor indexed="64"/>
      </patternFill>
    </fill>
    <fill>
      <patternFill patternType="solid">
        <fgColor rgb="FF00FF00"/>
        <bgColor indexed="64"/>
      </patternFill>
    </fill>
    <fill>
      <patternFill patternType="solid">
        <fgColor rgb="FFFFC000"/>
        <bgColor indexed="64"/>
      </patternFill>
    </fill>
    <fill>
      <patternFill patternType="solid">
        <fgColor rgb="FF66FFFF"/>
        <bgColor indexed="64"/>
      </patternFill>
    </fill>
    <fill>
      <patternFill patternType="solid">
        <fgColor rgb="FFFF99FF"/>
        <bgColor indexed="64"/>
      </patternFill>
    </fill>
    <fill>
      <patternFill patternType="solid">
        <fgColor rgb="FFFF33CC"/>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s>
  <cellStyleXfs count="1">
    <xf numFmtId="0" fontId="0" fillId="0" borderId="0"/>
  </cellStyleXfs>
  <cellXfs count="212">
    <xf numFmtId="0" fontId="0" fillId="0" borderId="0" xfId="0"/>
    <xf numFmtId="0" fontId="0" fillId="0" borderId="0" xfId="0" applyAlignment="1">
      <alignment horizontal="center"/>
    </xf>
    <xf numFmtId="0" fontId="4" fillId="0" borderId="1" xfId="0" applyFont="1" applyBorder="1" applyAlignment="1">
      <alignment horizontal="center"/>
    </xf>
    <xf numFmtId="0" fontId="5" fillId="0" borderId="0" xfId="0" applyFont="1" applyBorder="1" applyAlignment="1"/>
    <xf numFmtId="0" fontId="7" fillId="0" borderId="0" xfId="0" applyFont="1" applyBorder="1" applyAlignment="1"/>
    <xf numFmtId="0" fontId="0" fillId="0" borderId="0" xfId="0" applyBorder="1" applyAlignment="1">
      <alignment horizontal="center"/>
    </xf>
    <xf numFmtId="0" fontId="7" fillId="0" borderId="0" xfId="0" applyFont="1" applyBorder="1" applyAlignment="1">
      <alignment horizontal="center"/>
    </xf>
    <xf numFmtId="0" fontId="9" fillId="0" borderId="0" xfId="0" applyFont="1" applyAlignment="1">
      <alignment horizontal="center"/>
    </xf>
    <xf numFmtId="0" fontId="0" fillId="0" borderId="0" xfId="0" applyAlignment="1">
      <alignment horizontal="left"/>
    </xf>
    <xf numFmtId="0" fontId="3" fillId="0" borderId="0" xfId="0" applyFont="1" applyBorder="1" applyAlignment="1">
      <alignment horizontal="center"/>
    </xf>
    <xf numFmtId="0" fontId="0" fillId="0" borderId="0" xfId="0" applyBorder="1"/>
    <xf numFmtId="0" fontId="0" fillId="0" borderId="0" xfId="0" applyFill="1" applyAlignment="1">
      <alignment horizontal="center"/>
    </xf>
    <xf numFmtId="0" fontId="7" fillId="0" borderId="0" xfId="0" applyFont="1"/>
    <xf numFmtId="0" fontId="12" fillId="0" borderId="0" xfId="0" applyFont="1"/>
    <xf numFmtId="0" fontId="7" fillId="0" borderId="0" xfId="0" applyFont="1" applyFill="1" applyBorder="1" applyAlignment="1">
      <alignment horizontal="center"/>
    </xf>
    <xf numFmtId="0" fontId="7" fillId="0" borderId="0" xfId="0" applyFont="1" applyBorder="1" applyAlignment="1">
      <alignment horizontal="left"/>
    </xf>
    <xf numFmtId="0" fontId="5" fillId="0" borderId="0" xfId="0" applyFont="1" applyFill="1" applyBorder="1" applyAlignment="1"/>
    <xf numFmtId="0" fontId="0" fillId="0" borderId="2" xfId="0" applyBorder="1" applyAlignment="1">
      <alignment horizontal="center"/>
    </xf>
    <xf numFmtId="0" fontId="7" fillId="0" borderId="0" xfId="0" applyFont="1" applyAlignment="1">
      <alignment horizontal="center"/>
    </xf>
    <xf numFmtId="2" fontId="0" fillId="0" borderId="0" xfId="0" applyNumberFormat="1"/>
    <xf numFmtId="2" fontId="0" fillId="0" borderId="0" xfId="0" applyNumberFormat="1" applyAlignment="1">
      <alignment horizontal="center"/>
    </xf>
    <xf numFmtId="0" fontId="9" fillId="0" borderId="0" xfId="0" applyFont="1" applyAlignment="1">
      <alignment horizontal="left"/>
    </xf>
    <xf numFmtId="0" fontId="0" fillId="0" borderId="0" xfId="0" applyBorder="1" applyAlignment="1">
      <alignment horizontal="left"/>
    </xf>
    <xf numFmtId="0" fontId="0" fillId="0" borderId="3" xfId="0" applyBorder="1" applyAlignment="1">
      <alignment horizontal="center"/>
    </xf>
    <xf numFmtId="0" fontId="0" fillId="0" borderId="4" xfId="0" applyBorder="1"/>
    <xf numFmtId="0" fontId="0" fillId="0" borderId="3" xfId="0" applyBorder="1"/>
    <xf numFmtId="0" fontId="0" fillId="0" borderId="5" xfId="0" applyBorder="1"/>
    <xf numFmtId="0" fontId="0" fillId="0" borderId="6" xfId="0" applyBorder="1"/>
    <xf numFmtId="2" fontId="0" fillId="0" borderId="0" xfId="0" applyNumberFormat="1" applyFill="1"/>
    <xf numFmtId="2" fontId="0" fillId="0" borderId="0" xfId="0" applyNumberFormat="1" applyFill="1" applyAlignment="1">
      <alignment horizontal="center"/>
    </xf>
    <xf numFmtId="0" fontId="0" fillId="0" borderId="0" xfId="0" applyBorder="1" applyAlignment="1"/>
    <xf numFmtId="0" fontId="7" fillId="0" borderId="1" xfId="0" applyFont="1" applyBorder="1" applyAlignment="1">
      <alignment horizontal="center"/>
    </xf>
    <xf numFmtId="0" fontId="0" fillId="0" borderId="1" xfId="0" applyBorder="1" applyAlignment="1">
      <alignment horizontal="center"/>
    </xf>
    <xf numFmtId="0" fontId="0" fillId="0" borderId="0" xfId="0" applyFill="1" applyBorder="1" applyAlignment="1">
      <alignment horizontal="center"/>
    </xf>
    <xf numFmtId="0" fontId="0" fillId="0" borderId="0" xfId="0" applyFill="1" applyBorder="1"/>
    <xf numFmtId="0" fontId="0" fillId="0" borderId="3" xfId="0" applyFill="1" applyBorder="1" applyAlignment="1">
      <alignment horizontal="center"/>
    </xf>
    <xf numFmtId="0" fontId="9" fillId="0" borderId="0" xfId="0" applyFont="1" applyBorder="1" applyAlignment="1"/>
    <xf numFmtId="2" fontId="9" fillId="0" borderId="0" xfId="0" applyNumberFormat="1" applyFont="1" applyFill="1" applyBorder="1" applyAlignment="1">
      <alignment horizontal="center"/>
    </xf>
    <xf numFmtId="0" fontId="9" fillId="0" borderId="0" xfId="0" applyFont="1" applyFill="1" applyBorder="1" applyAlignment="1">
      <alignment horizontal="center"/>
    </xf>
    <xf numFmtId="0" fontId="0" fillId="0" borderId="0" xfId="0" applyFill="1"/>
    <xf numFmtId="0" fontId="9" fillId="0" borderId="0" xfId="0" applyFont="1" applyAlignment="1">
      <alignment vertical="center" wrapText="1"/>
    </xf>
    <xf numFmtId="0" fontId="2" fillId="0" borderId="0" xfId="0" applyFont="1"/>
    <xf numFmtId="0" fontId="7" fillId="0" borderId="0" xfId="0" applyFont="1" applyAlignment="1"/>
    <xf numFmtId="0" fontId="0" fillId="0" borderId="0" xfId="0" applyAlignment="1">
      <alignment horizontal="left" indent="15"/>
    </xf>
    <xf numFmtId="0" fontId="7" fillId="2" borderId="0" xfId="0" applyFont="1" applyFill="1" applyBorder="1" applyAlignment="1">
      <alignment horizontal="center"/>
    </xf>
    <xf numFmtId="1" fontId="7" fillId="3" borderId="0" xfId="0" applyNumberFormat="1" applyFont="1" applyFill="1" applyBorder="1" applyAlignment="1">
      <alignment horizontal="center"/>
    </xf>
    <xf numFmtId="0" fontId="5" fillId="2" borderId="0" xfId="0" applyFont="1" applyFill="1" applyBorder="1" applyAlignment="1"/>
    <xf numFmtId="0" fontId="5" fillId="3" borderId="0" xfId="0" applyFont="1" applyFill="1" applyBorder="1" applyAlignment="1"/>
    <xf numFmtId="0" fontId="5" fillId="0" borderId="0" xfId="0" applyFont="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lignment vertical="center"/>
    </xf>
    <xf numFmtId="0" fontId="5" fillId="0" borderId="0" xfId="0" applyFont="1" applyBorder="1" applyAlignment="1">
      <alignment vertical="center"/>
    </xf>
    <xf numFmtId="1" fontId="0" fillId="3" borderId="1" xfId="0" applyNumberFormat="1" applyFill="1" applyBorder="1" applyAlignment="1">
      <alignment horizontal="center"/>
    </xf>
    <xf numFmtId="164" fontId="1" fillId="3" borderId="1" xfId="0" applyNumberFormat="1" applyFont="1" applyFill="1" applyBorder="1" applyAlignment="1">
      <alignment horizontal="center"/>
    </xf>
    <xf numFmtId="164" fontId="0" fillId="3" borderId="1" xfId="0" applyNumberFormat="1" applyFill="1" applyBorder="1" applyAlignment="1">
      <alignment horizontal="center"/>
    </xf>
    <xf numFmtId="1" fontId="0" fillId="0" borderId="0" xfId="0" applyNumberFormat="1"/>
    <xf numFmtId="0" fontId="0" fillId="0" borderId="7" xfId="0" applyBorder="1" applyAlignment="1">
      <alignment horizontal="center"/>
    </xf>
    <xf numFmtId="0" fontId="0" fillId="0" borderId="4" xfId="0" applyBorder="1" applyAlignment="1">
      <alignment horizontal="center" vertical="center"/>
    </xf>
    <xf numFmtId="2" fontId="0" fillId="0" borderId="0" xfId="0" applyNumberFormat="1" applyFill="1" applyBorder="1" applyAlignment="1">
      <alignment horizontal="center"/>
    </xf>
    <xf numFmtId="0" fontId="0" fillId="0" borderId="0" xfId="0" applyFill="1" applyBorder="1" applyAlignment="1">
      <alignment vertical="center" wrapText="1"/>
    </xf>
    <xf numFmtId="0" fontId="9" fillId="0" borderId="0" xfId="0" applyFont="1" applyBorder="1" applyAlignment="1">
      <alignment horizontal="center"/>
    </xf>
    <xf numFmtId="2" fontId="0" fillId="0" borderId="0" xfId="0" applyNumberFormat="1" applyBorder="1" applyAlignment="1">
      <alignment horizontal="center"/>
    </xf>
    <xf numFmtId="0" fontId="7" fillId="0" borderId="0" xfId="0" applyFont="1" applyBorder="1"/>
    <xf numFmtId="0" fontId="9" fillId="0" borderId="0" xfId="0" applyFont="1" applyBorder="1" applyAlignment="1">
      <alignment vertical="top" wrapText="1"/>
    </xf>
    <xf numFmtId="0" fontId="3" fillId="0" borderId="0" xfId="0" applyFont="1" applyFill="1" applyBorder="1" applyAlignment="1">
      <alignment horizontal="center" vertical="center" wrapText="1"/>
    </xf>
    <xf numFmtId="1" fontId="0" fillId="0" borderId="0" xfId="0" applyNumberFormat="1" applyFill="1" applyBorder="1" applyAlignment="1">
      <alignment horizontal="center"/>
    </xf>
    <xf numFmtId="0" fontId="0" fillId="0" borderId="4" xfId="0" applyBorder="1" applyAlignment="1">
      <alignment vertical="center"/>
    </xf>
    <xf numFmtId="0" fontId="7" fillId="0" borderId="4" xfId="0" applyFont="1" applyBorder="1"/>
    <xf numFmtId="2" fontId="0" fillId="0" borderId="0" xfId="0" applyNumberFormat="1" applyBorder="1"/>
    <xf numFmtId="2" fontId="0" fillId="0" borderId="3" xfId="0" applyNumberFormat="1" applyBorder="1"/>
    <xf numFmtId="2" fontId="0" fillId="0" borderId="0" xfId="0" applyNumberFormat="1" applyFill="1" applyBorder="1"/>
    <xf numFmtId="2" fontId="0" fillId="0" borderId="3" xfId="0" applyNumberFormat="1" applyFill="1" applyBorder="1"/>
    <xf numFmtId="2" fontId="0" fillId="0" borderId="3" xfId="0" applyNumberFormat="1" applyBorder="1" applyAlignment="1">
      <alignment horizontal="center"/>
    </xf>
    <xf numFmtId="0" fontId="0" fillId="0" borderId="0" xfId="0" applyNumberFormat="1" applyFill="1" applyBorder="1" applyAlignment="1">
      <alignment horizontal="center"/>
    </xf>
    <xf numFmtId="0" fontId="0" fillId="0" borderId="0" xfId="0" applyNumberFormat="1" applyBorder="1" applyAlignment="1">
      <alignment horizontal="center"/>
    </xf>
    <xf numFmtId="0" fontId="9" fillId="0" borderId="0" xfId="0" applyFont="1" applyBorder="1"/>
    <xf numFmtId="0" fontId="9" fillId="0" borderId="0" xfId="0" applyFont="1" applyBorder="1" applyAlignment="1">
      <alignment horizontal="left"/>
    </xf>
    <xf numFmtId="0" fontId="0" fillId="0" borderId="8" xfId="0" applyBorder="1"/>
    <xf numFmtId="2" fontId="0" fillId="0" borderId="5" xfId="0" applyNumberFormat="1" applyFill="1" applyBorder="1"/>
    <xf numFmtId="2" fontId="0" fillId="0" borderId="6" xfId="0" applyNumberFormat="1" applyFill="1" applyBorder="1"/>
    <xf numFmtId="0" fontId="9" fillId="0" borderId="4" xfId="0" applyFont="1" applyBorder="1" applyAlignment="1">
      <alignment vertical="top" wrapText="1"/>
    </xf>
    <xf numFmtId="0" fontId="0" fillId="0" borderId="4" xfId="0" applyFill="1" applyBorder="1" applyAlignment="1">
      <alignment horizontal="left"/>
    </xf>
    <xf numFmtId="2" fontId="9" fillId="0" borderId="0" xfId="0" applyNumberFormat="1" applyFont="1" applyBorder="1" applyAlignment="1">
      <alignment horizontal="center"/>
    </xf>
    <xf numFmtId="2" fontId="9" fillId="0" borderId="3" xfId="0" applyNumberFormat="1" applyFont="1" applyBorder="1" applyAlignment="1">
      <alignment horizontal="center"/>
    </xf>
    <xf numFmtId="0" fontId="7" fillId="0" borderId="3" xfId="0" applyFont="1" applyBorder="1" applyAlignment="1">
      <alignment horizontal="center"/>
    </xf>
    <xf numFmtId="0" fontId="0" fillId="0" borderId="2" xfId="0" applyBorder="1"/>
    <xf numFmtId="0" fontId="9" fillId="0" borderId="2" xfId="0" applyFont="1" applyBorder="1" applyAlignment="1">
      <alignment horizontal="center"/>
    </xf>
    <xf numFmtId="0" fontId="0" fillId="0" borderId="2" xfId="0" applyBorder="1" applyAlignment="1">
      <alignment horizontal="left"/>
    </xf>
    <xf numFmtId="0" fontId="5" fillId="0" borderId="2" xfId="0" applyFont="1" applyBorder="1" applyAlignment="1"/>
    <xf numFmtId="0" fontId="5" fillId="0" borderId="9" xfId="0" applyFont="1" applyBorder="1" applyAlignment="1"/>
    <xf numFmtId="0" fontId="5" fillId="0" borderId="7" xfId="0" applyFont="1" applyBorder="1" applyAlignment="1"/>
    <xf numFmtId="0" fontId="0" fillId="0" borderId="7" xfId="0" applyBorder="1"/>
    <xf numFmtId="0" fontId="5" fillId="0" borderId="10" xfId="0" applyFont="1" applyBorder="1" applyAlignment="1"/>
    <xf numFmtId="0" fontId="5" fillId="0" borderId="11" xfId="0" applyFont="1" applyBorder="1" applyAlignment="1"/>
    <xf numFmtId="0" fontId="5" fillId="0" borderId="12" xfId="0" applyFont="1" applyBorder="1" applyAlignment="1"/>
    <xf numFmtId="0" fontId="12" fillId="0" borderId="0" xfId="0" applyFont="1" applyBorder="1"/>
    <xf numFmtId="0" fontId="0" fillId="0" borderId="11" xfId="0" applyBorder="1"/>
    <xf numFmtId="0" fontId="0" fillId="0" borderId="12" xfId="0" applyBorder="1"/>
    <xf numFmtId="0" fontId="0" fillId="0" borderId="12" xfId="0" applyBorder="1" applyAlignment="1">
      <alignment horizontal="left"/>
    </xf>
    <xf numFmtId="0" fontId="0" fillId="0" borderId="13" xfId="0" applyBorder="1"/>
    <xf numFmtId="0" fontId="0" fillId="0" borderId="14" xfId="0" applyBorder="1" applyAlignment="1">
      <alignment horizontal="left"/>
    </xf>
    <xf numFmtId="0" fontId="0" fillId="0" borderId="9" xfId="0" applyBorder="1"/>
    <xf numFmtId="0" fontId="9" fillId="0" borderId="7" xfId="0" applyFont="1" applyBorder="1"/>
    <xf numFmtId="0" fontId="9" fillId="0" borderId="7" xfId="0" applyFont="1" applyBorder="1" applyAlignment="1">
      <alignment horizontal="center"/>
    </xf>
    <xf numFmtId="0" fontId="0" fillId="0" borderId="7" xfId="0" applyBorder="1" applyAlignment="1">
      <alignment horizontal="left"/>
    </xf>
    <xf numFmtId="0" fontId="0" fillId="0" borderId="10" xfId="0" applyBorder="1" applyAlignment="1">
      <alignment horizontal="left"/>
    </xf>
    <xf numFmtId="0" fontId="0" fillId="3" borderId="0" xfId="0" applyFill="1" applyBorder="1" applyAlignment="1">
      <alignment horizontal="center"/>
    </xf>
    <xf numFmtId="2" fontId="0" fillId="3" borderId="0" xfId="0" applyNumberFormat="1" applyFill="1" applyBorder="1" applyAlignment="1">
      <alignment horizontal="center"/>
    </xf>
    <xf numFmtId="0" fontId="0" fillId="0" borderId="0" xfId="0" applyFill="1" applyBorder="1" applyAlignment="1">
      <alignment horizontal="center" vertical="center" wrapText="1"/>
    </xf>
    <xf numFmtId="0" fontId="7" fillId="0" borderId="15" xfId="0" applyFont="1" applyBorder="1" applyAlignment="1">
      <alignment horizontal="center"/>
    </xf>
    <xf numFmtId="1" fontId="0" fillId="3" borderId="15" xfId="0" applyNumberFormat="1" applyFill="1" applyBorder="1" applyAlignment="1">
      <alignment horizontal="center"/>
    </xf>
    <xf numFmtId="0" fontId="0" fillId="0" borderId="14" xfId="0" applyBorder="1"/>
    <xf numFmtId="0" fontId="7" fillId="0" borderId="11" xfId="0" applyFont="1" applyBorder="1" applyAlignment="1">
      <alignment horizontal="left"/>
    </xf>
    <xf numFmtId="0" fontId="7" fillId="0" borderId="11" xfId="0" applyFont="1" applyBorder="1" applyAlignment="1">
      <alignment horizontal="center"/>
    </xf>
    <xf numFmtId="0" fontId="7" fillId="0" borderId="11" xfId="0" applyFont="1" applyBorder="1" applyAlignment="1"/>
    <xf numFmtId="0" fontId="4" fillId="0" borderId="15" xfId="0" applyFont="1" applyBorder="1" applyAlignment="1">
      <alignment horizontal="center"/>
    </xf>
    <xf numFmtId="164" fontId="1" fillId="3" borderId="15" xfId="0" applyNumberFormat="1" applyFont="1" applyFill="1" applyBorder="1" applyAlignment="1">
      <alignment horizontal="center"/>
    </xf>
    <xf numFmtId="0" fontId="9" fillId="0" borderId="13" xfId="0" applyFont="1" applyBorder="1"/>
    <xf numFmtId="0" fontId="0" fillId="4" borderId="0" xfId="0" applyFill="1" applyBorder="1"/>
    <xf numFmtId="0" fontId="0" fillId="4" borderId="0" xfId="0" applyFill="1" applyBorder="1" applyAlignment="1">
      <alignment horizontal="center"/>
    </xf>
    <xf numFmtId="164" fontId="9" fillId="0" borderId="0" xfId="0" applyNumberFormat="1" applyFont="1" applyBorder="1" applyAlignment="1">
      <alignment horizontal="center"/>
    </xf>
    <xf numFmtId="1" fontId="9" fillId="0" borderId="0" xfId="0" applyNumberFormat="1" applyFont="1" applyBorder="1" applyAlignment="1">
      <alignment horizontal="center"/>
    </xf>
    <xf numFmtId="0" fontId="9" fillId="0" borderId="0" xfId="0" applyFont="1" applyBorder="1" applyAlignment="1">
      <alignment vertical="center"/>
    </xf>
    <xf numFmtId="0" fontId="8" fillId="0" borderId="0" xfId="0" applyFont="1" applyBorder="1" applyAlignment="1"/>
    <xf numFmtId="0" fontId="8" fillId="0" borderId="0" xfId="0" applyFont="1" applyBorder="1" applyAlignment="1">
      <alignment wrapText="1"/>
    </xf>
    <xf numFmtId="0" fontId="8" fillId="0" borderId="0" xfId="0" applyFont="1" applyBorder="1" applyAlignment="1">
      <alignment horizontal="center"/>
    </xf>
    <xf numFmtId="0" fontId="15" fillId="0" borderId="0" xfId="0" applyFont="1" applyBorder="1" applyAlignment="1"/>
    <xf numFmtId="0" fontId="16" fillId="0" borderId="0" xfId="0" applyFont="1" applyBorder="1" applyAlignment="1"/>
    <xf numFmtId="0" fontId="16" fillId="0" borderId="0" xfId="0" applyFont="1" applyBorder="1" applyAlignment="1">
      <alignment horizontal="center"/>
    </xf>
    <xf numFmtId="0" fontId="16" fillId="0" borderId="0" xfId="0" applyFont="1" applyBorder="1"/>
    <xf numFmtId="0" fontId="15" fillId="0" borderId="0" xfId="0" applyFont="1" applyFill="1" applyBorder="1" applyAlignment="1"/>
    <xf numFmtId="0" fontId="0" fillId="5" borderId="0" xfId="0" applyFill="1" applyAlignment="1">
      <alignment horizontal="center"/>
    </xf>
    <xf numFmtId="2" fontId="0" fillId="5" borderId="0" xfId="0" applyNumberFormat="1" applyFill="1" applyBorder="1" applyAlignment="1">
      <alignment horizontal="center"/>
    </xf>
    <xf numFmtId="2" fontId="0" fillId="6" borderId="0" xfId="0" applyNumberFormat="1" applyFill="1" applyAlignment="1">
      <alignment horizontal="center"/>
    </xf>
    <xf numFmtId="2" fontId="0" fillId="6" borderId="0" xfId="0" applyNumberFormat="1" applyFill="1" applyBorder="1" applyAlignment="1">
      <alignment horizontal="center"/>
    </xf>
    <xf numFmtId="2" fontId="0" fillId="7" borderId="0" xfId="0" applyNumberFormat="1" applyFill="1" applyAlignment="1">
      <alignment horizontal="center"/>
    </xf>
    <xf numFmtId="2" fontId="0" fillId="7" borderId="0" xfId="0" applyNumberFormat="1" applyFill="1" applyBorder="1" applyAlignment="1">
      <alignment horizontal="center"/>
    </xf>
    <xf numFmtId="2" fontId="0" fillId="8" borderId="0" xfId="0" applyNumberFormat="1" applyFill="1" applyAlignment="1">
      <alignment horizontal="center"/>
    </xf>
    <xf numFmtId="2" fontId="0" fillId="8" borderId="0" xfId="0" applyNumberFormat="1" applyFill="1" applyBorder="1" applyAlignment="1">
      <alignment horizontal="center"/>
    </xf>
    <xf numFmtId="2" fontId="0" fillId="9" borderId="0" xfId="0" applyNumberFormat="1" applyFill="1" applyAlignment="1">
      <alignment horizontal="center"/>
    </xf>
    <xf numFmtId="2" fontId="0" fillId="9" borderId="0" xfId="0" applyNumberFormat="1" applyFill="1" applyBorder="1" applyAlignment="1">
      <alignment horizontal="center"/>
    </xf>
    <xf numFmtId="0" fontId="0" fillId="0" borderId="0" xfId="0" applyNumberFormat="1"/>
    <xf numFmtId="0" fontId="3" fillId="0" borderId="0" xfId="0" applyFont="1" applyBorder="1" applyAlignment="1">
      <alignment horizontal="center"/>
    </xf>
    <xf numFmtId="0" fontId="7" fillId="0" borderId="16" xfId="0" applyFont="1" applyBorder="1" applyAlignment="1">
      <alignment horizontal="center"/>
    </xf>
    <xf numFmtId="0" fontId="7" fillId="0" borderId="17" xfId="0" applyFont="1" applyBorder="1" applyAlignment="1">
      <alignment horizont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0" fillId="0" borderId="16" xfId="0" applyBorder="1" applyAlignment="1">
      <alignment horizontal="center"/>
    </xf>
    <xf numFmtId="0" fontId="0" fillId="0" borderId="17"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0" xfId="0" applyAlignment="1">
      <alignment horizontal="left"/>
    </xf>
    <xf numFmtId="0" fontId="7" fillId="0" borderId="0" xfId="0" applyFont="1" applyAlignment="1">
      <alignment horizontal="left"/>
    </xf>
    <xf numFmtId="0" fontId="7" fillId="0" borderId="0" xfId="0" applyFont="1" applyAlignment="1">
      <alignment horizontal="center"/>
    </xf>
    <xf numFmtId="0" fontId="0" fillId="0" borderId="18" xfId="0" applyBorder="1" applyAlignment="1">
      <alignment horizontal="center"/>
    </xf>
    <xf numFmtId="0" fontId="7" fillId="0" borderId="18" xfId="0" applyFont="1" applyBorder="1" applyAlignment="1">
      <alignment horizontal="center"/>
    </xf>
    <xf numFmtId="0" fontId="0" fillId="0" borderId="16" xfId="0" applyFill="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0" fontId="0" fillId="0" borderId="2" xfId="0" applyBorder="1" applyAlignment="1">
      <alignment horizontal="center"/>
    </xf>
    <xf numFmtId="0" fontId="0" fillId="0" borderId="25" xfId="0" applyBorder="1" applyAlignment="1">
      <alignment horizontal="center"/>
    </xf>
    <xf numFmtId="0" fontId="0" fillId="0" borderId="0" xfId="0" applyBorder="1" applyAlignment="1">
      <alignment horizontal="center"/>
    </xf>
    <xf numFmtId="0" fontId="0" fillId="0" borderId="2" xfId="0" applyFill="1" applyBorder="1" applyAlignment="1">
      <alignment horizontal="center"/>
    </xf>
    <xf numFmtId="0" fontId="0" fillId="0" borderId="0" xfId="0" applyFill="1" applyBorder="1" applyAlignment="1">
      <alignment horizontal="center"/>
    </xf>
    <xf numFmtId="0" fontId="0" fillId="0" borderId="16" xfId="0" applyBorder="1" applyAlignment="1">
      <alignment horizontal="center" wrapText="1"/>
    </xf>
    <xf numFmtId="0" fontId="0" fillId="0" borderId="18" xfId="0" applyBorder="1" applyAlignment="1">
      <alignment horizontal="center" wrapText="1"/>
    </xf>
    <xf numFmtId="0" fontId="0" fillId="0" borderId="17" xfId="0" applyBorder="1" applyAlignment="1">
      <alignment horizontal="center" wrapText="1"/>
    </xf>
    <xf numFmtId="0" fontId="0" fillId="0" borderId="0" xfId="0" applyAlignment="1">
      <alignment horizontal="center"/>
    </xf>
    <xf numFmtId="0" fontId="0" fillId="0" borderId="0" xfId="0" applyFill="1" applyBorder="1" applyAlignment="1">
      <alignment horizontal="center" vertical="center"/>
    </xf>
    <xf numFmtId="0" fontId="7" fillId="0" borderId="16" xfId="0" applyFont="1" applyBorder="1" applyAlignment="1">
      <alignment horizontal="center" vertical="center"/>
    </xf>
    <xf numFmtId="0" fontId="7" fillId="0" borderId="18" xfId="0" applyFont="1" applyBorder="1" applyAlignment="1">
      <alignment horizontal="center" vertical="center"/>
    </xf>
    <xf numFmtId="0" fontId="7" fillId="0" borderId="17" xfId="0" applyFont="1" applyBorder="1" applyAlignment="1">
      <alignment horizontal="center" vertical="center"/>
    </xf>
    <xf numFmtId="0" fontId="7" fillId="0" borderId="22" xfId="0" applyFont="1" applyBorder="1" applyAlignment="1">
      <alignment horizontal="center" vertical="center"/>
    </xf>
    <xf numFmtId="0" fontId="7" fillId="0" borderId="24" xfId="0" applyFont="1" applyBorder="1" applyAlignment="1">
      <alignment horizontal="center" vertical="center"/>
    </xf>
    <xf numFmtId="0" fontId="7" fillId="0" borderId="4" xfId="0" applyFont="1" applyBorder="1" applyAlignment="1">
      <alignment horizontal="center" vertical="center"/>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1" fontId="0" fillId="3" borderId="16" xfId="0" applyNumberFormat="1" applyFill="1" applyBorder="1" applyAlignment="1">
      <alignment horizontal="center"/>
    </xf>
    <xf numFmtId="1" fontId="0" fillId="3" borderId="17" xfId="0" applyNumberFormat="1" applyFill="1" applyBorder="1" applyAlignment="1">
      <alignment horizontal="center"/>
    </xf>
    <xf numFmtId="0" fontId="0" fillId="0" borderId="19" xfId="0" applyBorder="1" applyAlignment="1">
      <alignment horizontal="center"/>
    </xf>
    <xf numFmtId="0" fontId="7" fillId="0" borderId="1" xfId="0" applyFont="1" applyBorder="1" applyAlignment="1">
      <alignment horizontal="center"/>
    </xf>
    <xf numFmtId="0" fontId="7" fillId="0" borderId="5" xfId="0" applyFont="1" applyBorder="1" applyAlignment="1">
      <alignment horizontal="center"/>
    </xf>
    <xf numFmtId="0" fontId="7" fillId="0" borderId="21" xfId="0" applyFont="1" applyBorder="1" applyAlignment="1">
      <alignment horizontal="center"/>
    </xf>
    <xf numFmtId="0" fontId="7" fillId="0" borderId="20" xfId="0" applyFont="1" applyBorder="1" applyAlignment="1">
      <alignment horizontal="center"/>
    </xf>
    <xf numFmtId="0" fontId="7" fillId="0" borderId="0" xfId="0" applyFont="1" applyBorder="1" applyAlignment="1">
      <alignment horizontal="center"/>
    </xf>
    <xf numFmtId="0" fontId="7" fillId="0" borderId="0" xfId="0" applyFont="1" applyBorder="1" applyAlignment="1">
      <alignment horizontal="left"/>
    </xf>
    <xf numFmtId="0" fontId="0" fillId="3" borderId="0" xfId="0"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 xfId="0" applyBorder="1" applyAlignment="1">
      <alignment horizontal="center"/>
    </xf>
    <xf numFmtId="0" fontId="14" fillId="0" borderId="9" xfId="0" applyFont="1" applyBorder="1" applyAlignment="1">
      <alignment horizontal="center"/>
    </xf>
    <xf numFmtId="0" fontId="14" fillId="0" borderId="7" xfId="0" applyFont="1" applyBorder="1" applyAlignment="1">
      <alignment horizontal="center"/>
    </xf>
    <xf numFmtId="0" fontId="3" fillId="0" borderId="11" xfId="0" applyFont="1" applyBorder="1" applyAlignment="1">
      <alignment horizontal="center"/>
    </xf>
    <xf numFmtId="0" fontId="7" fillId="0" borderId="20" xfId="0" applyFont="1" applyFill="1" applyBorder="1" applyAlignment="1">
      <alignment horizontal="center"/>
    </xf>
    <xf numFmtId="0" fontId="7" fillId="0" borderId="17" xfId="0" applyFont="1" applyFill="1" applyBorder="1" applyAlignment="1">
      <alignment horizontal="center"/>
    </xf>
    <xf numFmtId="0" fontId="7" fillId="0" borderId="11" xfId="0" applyFont="1" applyBorder="1" applyAlignment="1">
      <alignment horizontal="left"/>
    </xf>
    <xf numFmtId="0" fontId="3" fillId="0" borderId="20" xfId="0" applyFont="1" applyBorder="1" applyAlignment="1">
      <alignment horizontal="center" vertical="center"/>
    </xf>
    <xf numFmtId="0" fontId="0" fillId="3" borderId="0" xfId="0" applyFill="1" applyBorder="1" applyAlignment="1">
      <alignment horizontal="center"/>
    </xf>
    <xf numFmtId="0" fontId="3" fillId="0" borderId="16"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14" fillId="0" borderId="0" xfId="0" applyFont="1" applyBorder="1" applyAlignment="1">
      <alignment horizontal="center"/>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1" fontId="0" fillId="3" borderId="16" xfId="0" quotePrefix="1" applyNumberFormat="1" applyFill="1" applyBorder="1" applyAlignment="1">
      <alignment horizontal="center"/>
    </xf>
    <xf numFmtId="0" fontId="7" fillId="0" borderId="19" xfId="0" applyFont="1" applyBorder="1" applyAlignment="1">
      <alignment horizontal="center"/>
    </xf>
    <xf numFmtId="0" fontId="9" fillId="0" borderId="1" xfId="0" applyFont="1" applyBorder="1" applyAlignment="1">
      <alignment horizontal="center"/>
    </xf>
    <xf numFmtId="0" fontId="9" fillId="0" borderId="0" xfId="0" applyFont="1" applyAlignment="1">
      <alignment horizontal="center"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png"/><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7</xdr:row>
      <xdr:rowOff>47625</xdr:rowOff>
    </xdr:from>
    <xdr:to>
      <xdr:col>2</xdr:col>
      <xdr:colOff>1190625</xdr:colOff>
      <xdr:row>17</xdr:row>
      <xdr:rowOff>47625</xdr:rowOff>
    </xdr:to>
    <xdr:pic>
      <xdr:nvPicPr>
        <xdr:cNvPr id="3159" name="Picture 4">
          <a:extLst>
            <a:ext uri="{FF2B5EF4-FFF2-40B4-BE49-F238E27FC236}">
              <a16:creationId xmlns:a16="http://schemas.microsoft.com/office/drawing/2014/main" id="{00000000-0008-0000-0200-0000570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85800" y="1219200"/>
          <a:ext cx="2181225" cy="1619250"/>
        </a:xfrm>
        <a:prstGeom prst="rect">
          <a:avLst/>
        </a:prstGeom>
        <a:noFill/>
        <a:ln w="9525">
          <a:noFill/>
          <a:miter lim="800000"/>
          <a:headEnd/>
          <a:tailEnd/>
        </a:ln>
      </xdr:spPr>
    </xdr:pic>
    <xdr:clientData/>
  </xdr:twoCellAnchor>
  <xdr:twoCellAnchor editAs="oneCell">
    <xdr:from>
      <xdr:col>4</xdr:col>
      <xdr:colOff>152400</xdr:colOff>
      <xdr:row>7</xdr:row>
      <xdr:rowOff>47625</xdr:rowOff>
    </xdr:from>
    <xdr:to>
      <xdr:col>5</xdr:col>
      <xdr:colOff>1190625</xdr:colOff>
      <xdr:row>17</xdr:row>
      <xdr:rowOff>28575</xdr:rowOff>
    </xdr:to>
    <xdr:pic>
      <xdr:nvPicPr>
        <xdr:cNvPr id="3160" name="Picture 5">
          <a:extLst>
            <a:ext uri="{FF2B5EF4-FFF2-40B4-BE49-F238E27FC236}">
              <a16:creationId xmlns:a16="http://schemas.microsoft.com/office/drawing/2014/main" id="{00000000-0008-0000-0200-0000580C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771900" y="1219200"/>
          <a:ext cx="2114550" cy="1600200"/>
        </a:xfrm>
        <a:prstGeom prst="rect">
          <a:avLst/>
        </a:prstGeom>
        <a:noFill/>
        <a:ln w="9525">
          <a:noFill/>
          <a:miter lim="800000"/>
          <a:headEnd/>
          <a:tailEnd/>
        </a:ln>
      </xdr:spPr>
    </xdr:pic>
    <xdr:clientData/>
  </xdr:twoCellAnchor>
  <xdr:twoCellAnchor editAs="oneCell">
    <xdr:from>
      <xdr:col>7</xdr:col>
      <xdr:colOff>104775</xdr:colOff>
      <xdr:row>7</xdr:row>
      <xdr:rowOff>57150</xdr:rowOff>
    </xdr:from>
    <xdr:to>
      <xdr:col>8</xdr:col>
      <xdr:colOff>1190625</xdr:colOff>
      <xdr:row>17</xdr:row>
      <xdr:rowOff>38100</xdr:rowOff>
    </xdr:to>
    <xdr:pic>
      <xdr:nvPicPr>
        <xdr:cNvPr id="3161" name="Picture 6">
          <a:extLst>
            <a:ext uri="{FF2B5EF4-FFF2-40B4-BE49-F238E27FC236}">
              <a16:creationId xmlns:a16="http://schemas.microsoft.com/office/drawing/2014/main" id="{00000000-0008-0000-0200-0000590C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6743700" y="1228725"/>
          <a:ext cx="2095500" cy="1600200"/>
        </a:xfrm>
        <a:prstGeom prst="rect">
          <a:avLst/>
        </a:prstGeom>
        <a:noFill/>
        <a:ln w="9525">
          <a:noFill/>
          <a:miter lim="800000"/>
          <a:headEnd/>
          <a:tailEnd/>
        </a:ln>
      </xdr:spPr>
    </xdr:pic>
    <xdr:clientData/>
  </xdr:twoCellAnchor>
  <xdr:twoCellAnchor editAs="oneCell">
    <xdr:from>
      <xdr:col>10</xdr:col>
      <xdr:colOff>104775</xdr:colOff>
      <xdr:row>7</xdr:row>
      <xdr:rowOff>104775</xdr:rowOff>
    </xdr:from>
    <xdr:to>
      <xdr:col>11</xdr:col>
      <xdr:colOff>1143000</xdr:colOff>
      <xdr:row>17</xdr:row>
      <xdr:rowOff>47625</xdr:rowOff>
    </xdr:to>
    <xdr:pic>
      <xdr:nvPicPr>
        <xdr:cNvPr id="3162" name="Picture 7">
          <a:extLst>
            <a:ext uri="{FF2B5EF4-FFF2-40B4-BE49-F238E27FC236}">
              <a16:creationId xmlns:a16="http://schemas.microsoft.com/office/drawing/2014/main" id="{00000000-0008-0000-0200-00005A0C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9696450" y="1276350"/>
          <a:ext cx="2085975" cy="1562100"/>
        </a:xfrm>
        <a:prstGeom prst="rect">
          <a:avLst/>
        </a:prstGeom>
        <a:noFill/>
        <a:ln w="9525">
          <a:noFill/>
          <a:miter lim="800000"/>
          <a:headEnd/>
          <a:tailEnd/>
        </a:ln>
      </xdr:spPr>
    </xdr:pic>
    <xdr:clientData/>
  </xdr:twoCellAnchor>
  <xdr:twoCellAnchor>
    <xdr:from>
      <xdr:col>1</xdr:col>
      <xdr:colOff>19050</xdr:colOff>
      <xdr:row>29</xdr:row>
      <xdr:rowOff>19050</xdr:rowOff>
    </xdr:from>
    <xdr:to>
      <xdr:col>7</xdr:col>
      <xdr:colOff>304800</xdr:colOff>
      <xdr:row>59</xdr:row>
      <xdr:rowOff>123825</xdr:rowOff>
    </xdr:to>
    <xdr:pic>
      <xdr:nvPicPr>
        <xdr:cNvPr id="3163" name="Picture 10">
          <a:extLst>
            <a:ext uri="{FF2B5EF4-FFF2-40B4-BE49-F238E27FC236}">
              <a16:creationId xmlns:a16="http://schemas.microsoft.com/office/drawing/2014/main" id="{00000000-0008-0000-0200-00005B0C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628650" y="4791075"/>
          <a:ext cx="6315075" cy="4962525"/>
        </a:xfrm>
        <a:prstGeom prst="rect">
          <a:avLst/>
        </a:prstGeom>
        <a:noFill/>
        <a:ln w="9525">
          <a:noFill/>
          <a:miter lim="800000"/>
          <a:headEnd/>
          <a:tailEnd/>
        </a:ln>
      </xdr:spPr>
    </xdr:pic>
    <xdr:clientData/>
  </xdr:twoCellAnchor>
  <xdr:twoCellAnchor>
    <xdr:from>
      <xdr:col>5</xdr:col>
      <xdr:colOff>1162050</xdr:colOff>
      <xdr:row>51</xdr:row>
      <xdr:rowOff>114300</xdr:rowOff>
    </xdr:from>
    <xdr:to>
      <xdr:col>6</xdr:col>
      <xdr:colOff>171450</xdr:colOff>
      <xdr:row>53</xdr:row>
      <xdr:rowOff>152400</xdr:rowOff>
    </xdr:to>
    <xdr:sp macro="" textlink="">
      <xdr:nvSpPr>
        <xdr:cNvPr id="3083" name="Text Box 11">
          <a:extLst>
            <a:ext uri="{FF2B5EF4-FFF2-40B4-BE49-F238E27FC236}">
              <a16:creationId xmlns:a16="http://schemas.microsoft.com/office/drawing/2014/main" id="{00000000-0008-0000-0200-00000B0C0000}"/>
            </a:ext>
          </a:extLst>
        </xdr:cNvPr>
        <xdr:cNvSpPr txBox="1">
          <a:spLocks noChangeArrowheads="1"/>
        </xdr:cNvSpPr>
      </xdr:nvSpPr>
      <xdr:spPr bwMode="auto">
        <a:xfrm>
          <a:off x="5857875" y="8448675"/>
          <a:ext cx="342900" cy="361950"/>
        </a:xfrm>
        <a:prstGeom prst="rect">
          <a:avLst/>
        </a:prstGeom>
        <a:noFill/>
        <a:ln w="0">
          <a:noFill/>
          <a:miter lim="800000"/>
          <a:headEnd/>
          <a:tailEnd/>
        </a:ln>
      </xdr:spPr>
      <xdr:txBody>
        <a:bodyPr vertOverflow="clip" wrap="square" lIns="91440" tIns="45720" rIns="91440" bIns="45720" anchor="t" upright="1"/>
        <a:lstStyle/>
        <a:p>
          <a:pPr algn="l" rtl="0">
            <a:defRPr sz="1000"/>
          </a:pPr>
          <a:r>
            <a:rPr lang="en-US" sz="1200" b="0" i="0" strike="noStrike">
              <a:solidFill>
                <a:srgbClr val="000000"/>
              </a:solidFill>
              <a:latin typeface="Arial"/>
              <a:cs typeface="Arial"/>
            </a:rPr>
            <a:t>L</a:t>
          </a:r>
        </a:p>
      </xdr:txBody>
    </xdr:sp>
    <xdr:clientData/>
  </xdr:twoCellAnchor>
  <xdr:twoCellAnchor>
    <xdr:from>
      <xdr:col>5</xdr:col>
      <xdr:colOff>647700</xdr:colOff>
      <xdr:row>42</xdr:row>
      <xdr:rowOff>133350</xdr:rowOff>
    </xdr:from>
    <xdr:to>
      <xdr:col>5</xdr:col>
      <xdr:colOff>990600</xdr:colOff>
      <xdr:row>45</xdr:row>
      <xdr:rowOff>9525</xdr:rowOff>
    </xdr:to>
    <xdr:sp macro="" textlink="">
      <xdr:nvSpPr>
        <xdr:cNvPr id="3084" name="Text Box 12">
          <a:extLst>
            <a:ext uri="{FF2B5EF4-FFF2-40B4-BE49-F238E27FC236}">
              <a16:creationId xmlns:a16="http://schemas.microsoft.com/office/drawing/2014/main" id="{00000000-0008-0000-0200-00000C0C0000}"/>
            </a:ext>
          </a:extLst>
        </xdr:cNvPr>
        <xdr:cNvSpPr txBox="1">
          <a:spLocks noChangeArrowheads="1"/>
        </xdr:cNvSpPr>
      </xdr:nvSpPr>
      <xdr:spPr bwMode="auto">
        <a:xfrm>
          <a:off x="5343525" y="7010400"/>
          <a:ext cx="342900" cy="361950"/>
        </a:xfrm>
        <a:prstGeom prst="rect">
          <a:avLst/>
        </a:prstGeom>
        <a:noFill/>
        <a:ln w="0">
          <a:noFill/>
          <a:miter lim="800000"/>
          <a:headEnd/>
          <a:tailEnd/>
        </a:ln>
      </xdr:spPr>
      <xdr:txBody>
        <a:bodyPr vertOverflow="clip" wrap="square" lIns="91440" tIns="45720" rIns="91440" bIns="45720" anchor="t" upright="1"/>
        <a:lstStyle/>
        <a:p>
          <a:pPr algn="l" rtl="0">
            <a:defRPr sz="1000"/>
          </a:pPr>
          <a:r>
            <a:rPr lang="en-US" sz="1200" b="0" i="0" strike="noStrike">
              <a:solidFill>
                <a:srgbClr val="000000"/>
              </a:solidFill>
              <a:latin typeface="Arial"/>
              <a:cs typeface="Arial"/>
            </a:rPr>
            <a:t>L</a:t>
          </a:r>
        </a:p>
      </xdr:txBody>
    </xdr:sp>
    <xdr:clientData/>
  </xdr:twoCellAnchor>
  <xdr:twoCellAnchor>
    <xdr:from>
      <xdr:col>2</xdr:col>
      <xdr:colOff>123825</xdr:colOff>
      <xdr:row>41</xdr:row>
      <xdr:rowOff>104775</xdr:rowOff>
    </xdr:from>
    <xdr:to>
      <xdr:col>2</xdr:col>
      <xdr:colOff>466725</xdr:colOff>
      <xdr:row>43</xdr:row>
      <xdr:rowOff>142875</xdr:rowOff>
    </xdr:to>
    <xdr:sp macro="" textlink="">
      <xdr:nvSpPr>
        <xdr:cNvPr id="3085" name="Text Box 13">
          <a:extLst>
            <a:ext uri="{FF2B5EF4-FFF2-40B4-BE49-F238E27FC236}">
              <a16:creationId xmlns:a16="http://schemas.microsoft.com/office/drawing/2014/main" id="{00000000-0008-0000-0200-00000D0C0000}"/>
            </a:ext>
          </a:extLst>
        </xdr:cNvPr>
        <xdr:cNvSpPr txBox="1">
          <a:spLocks noChangeArrowheads="1"/>
        </xdr:cNvSpPr>
      </xdr:nvSpPr>
      <xdr:spPr bwMode="auto">
        <a:xfrm>
          <a:off x="1800225" y="6819900"/>
          <a:ext cx="342900" cy="361950"/>
        </a:xfrm>
        <a:prstGeom prst="rect">
          <a:avLst/>
        </a:prstGeom>
        <a:noFill/>
        <a:ln w="0">
          <a:noFill/>
          <a:miter lim="800000"/>
          <a:headEnd/>
          <a:tailEnd/>
        </a:ln>
      </xdr:spPr>
      <xdr:txBody>
        <a:bodyPr vertOverflow="clip" wrap="square" lIns="91440" tIns="45720" rIns="91440" bIns="45720" anchor="t" upright="1"/>
        <a:lstStyle/>
        <a:p>
          <a:pPr algn="l" rtl="0">
            <a:defRPr sz="1000"/>
          </a:pPr>
          <a:r>
            <a:rPr lang="en-US" sz="1200" b="0" i="0" strike="noStrike">
              <a:solidFill>
                <a:srgbClr val="000000"/>
              </a:solidFill>
              <a:latin typeface="Arial"/>
              <a:cs typeface="Arial"/>
            </a:rPr>
            <a:t>L</a:t>
          </a:r>
        </a:p>
      </xdr:txBody>
    </xdr:sp>
    <xdr:clientData/>
  </xdr:twoCellAnchor>
  <xdr:twoCellAnchor>
    <xdr:from>
      <xdr:col>1</xdr:col>
      <xdr:colOff>523875</xdr:colOff>
      <xdr:row>51</xdr:row>
      <xdr:rowOff>85725</xdr:rowOff>
    </xdr:from>
    <xdr:to>
      <xdr:col>1</xdr:col>
      <xdr:colOff>866775</xdr:colOff>
      <xdr:row>53</xdr:row>
      <xdr:rowOff>123825</xdr:rowOff>
    </xdr:to>
    <xdr:sp macro="" textlink="">
      <xdr:nvSpPr>
        <xdr:cNvPr id="3086" name="Text Box 14">
          <a:extLst>
            <a:ext uri="{FF2B5EF4-FFF2-40B4-BE49-F238E27FC236}">
              <a16:creationId xmlns:a16="http://schemas.microsoft.com/office/drawing/2014/main" id="{00000000-0008-0000-0200-00000E0C0000}"/>
            </a:ext>
          </a:extLst>
        </xdr:cNvPr>
        <xdr:cNvSpPr txBox="1">
          <a:spLocks noChangeArrowheads="1"/>
        </xdr:cNvSpPr>
      </xdr:nvSpPr>
      <xdr:spPr bwMode="auto">
        <a:xfrm>
          <a:off x="1133475" y="8420100"/>
          <a:ext cx="342900" cy="361950"/>
        </a:xfrm>
        <a:prstGeom prst="rect">
          <a:avLst/>
        </a:prstGeom>
        <a:noFill/>
        <a:ln w="0">
          <a:noFill/>
          <a:miter lim="800000"/>
          <a:headEnd/>
          <a:tailEnd/>
        </a:ln>
      </xdr:spPr>
      <xdr:txBody>
        <a:bodyPr vertOverflow="clip" wrap="square" lIns="91440" tIns="45720" rIns="91440" bIns="45720" anchor="t" upright="1"/>
        <a:lstStyle/>
        <a:p>
          <a:pPr algn="l" rtl="0">
            <a:defRPr sz="1000"/>
          </a:pPr>
          <a:r>
            <a:rPr lang="en-US" sz="1200" b="0" i="0" strike="noStrike">
              <a:solidFill>
                <a:srgbClr val="000000"/>
              </a:solidFill>
              <a:latin typeface="Arial"/>
              <a:cs typeface="Arial"/>
            </a:rPr>
            <a:t>L</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20</xdr:col>
      <xdr:colOff>0</xdr:colOff>
      <xdr:row>22</xdr:row>
      <xdr:rowOff>95250</xdr:rowOff>
    </xdr:to>
    <xdr:pic>
      <xdr:nvPicPr>
        <xdr:cNvPr id="2049" name="Picture 1">
          <a:extLst>
            <a:ext uri="{FF2B5EF4-FFF2-40B4-BE49-F238E27FC236}">
              <a16:creationId xmlns:a16="http://schemas.microsoft.com/office/drawing/2014/main" id="{00000000-0008-0000-03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1619250"/>
          <a:ext cx="12192000" cy="203835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K185"/>
  <sheetViews>
    <sheetView tabSelected="1" topLeftCell="B159" workbookViewId="0">
      <selection activeCell="Q42" sqref="Q42"/>
    </sheetView>
  </sheetViews>
  <sheetFormatPr defaultColWidth="8.85546875" defaultRowHeight="12.75" x14ac:dyDescent="0.2"/>
  <cols>
    <col min="1" max="1" width="9.140625" customWidth="1"/>
    <col min="2" max="2" width="10" customWidth="1"/>
    <col min="3" max="3" width="9.140625" style="1"/>
    <col min="4" max="4" width="9.28515625" style="1" customWidth="1"/>
    <col min="5" max="6" width="9.140625" style="1"/>
    <col min="7" max="7" width="9.28515625" style="1" customWidth="1"/>
    <col min="8" max="8" width="9.140625" style="1"/>
    <col min="9" max="9" width="16.7109375" style="1" customWidth="1"/>
    <col min="10" max="10" width="9.140625" style="1"/>
    <col min="11" max="11" width="9.28515625" style="1" customWidth="1"/>
    <col min="12" max="13" width="8.7109375" style="1" customWidth="1"/>
    <col min="14" max="14" width="9" style="1" customWidth="1"/>
    <col min="16" max="16" width="8.7109375" customWidth="1"/>
    <col min="17" max="17" width="13.85546875" customWidth="1"/>
    <col min="18" max="18" width="15.7109375" customWidth="1"/>
    <col min="19" max="19" width="9.140625" customWidth="1"/>
    <col min="20" max="20" width="9.42578125" customWidth="1"/>
    <col min="21" max="24" width="9.140625" customWidth="1"/>
    <col min="25" max="25" width="14" customWidth="1"/>
    <col min="26" max="36" width="9.140625" customWidth="1"/>
  </cols>
  <sheetData>
    <row r="1" spans="1:37" s="3" customFormat="1" ht="12.75" customHeight="1" x14ac:dyDescent="0.25">
      <c r="N1" s="13"/>
    </row>
    <row r="2" spans="1:37" s="3" customFormat="1" ht="15.75" customHeight="1" x14ac:dyDescent="0.25">
      <c r="B2" s="46"/>
      <c r="C2" s="49" t="s">
        <v>119</v>
      </c>
      <c r="D2" s="50" t="s">
        <v>138</v>
      </c>
      <c r="E2" s="50"/>
      <c r="F2" s="51"/>
      <c r="N2" s="13"/>
    </row>
    <row r="3" spans="1:37" s="3" customFormat="1" ht="12.75" customHeight="1" x14ac:dyDescent="0.25">
      <c r="B3" s="16"/>
      <c r="C3" s="48"/>
      <c r="D3" s="51"/>
      <c r="E3" s="51"/>
      <c r="F3" s="51"/>
      <c r="N3" s="13"/>
    </row>
    <row r="4" spans="1:37" s="3" customFormat="1" ht="17.25" customHeight="1" x14ac:dyDescent="0.25">
      <c r="B4" s="47"/>
      <c r="C4" s="49" t="s">
        <v>119</v>
      </c>
      <c r="D4" s="50" t="s">
        <v>120</v>
      </c>
      <c r="E4" s="50"/>
      <c r="F4" s="51"/>
      <c r="N4" s="13"/>
    </row>
    <row r="5" spans="1:37" s="3" customFormat="1" ht="12.75" customHeight="1" thickBot="1" x14ac:dyDescent="0.3">
      <c r="A5" s="88"/>
      <c r="B5" s="88"/>
      <c r="C5" s="88"/>
      <c r="D5" s="88"/>
      <c r="E5" s="88"/>
      <c r="F5" s="88"/>
      <c r="G5" s="88"/>
      <c r="H5" s="88"/>
      <c r="I5" s="88"/>
      <c r="J5" s="88"/>
      <c r="K5" s="88"/>
      <c r="L5" s="88"/>
      <c r="M5" s="88"/>
      <c r="N5" s="85"/>
      <c r="O5" s="88"/>
      <c r="P5" s="88"/>
      <c r="R5" s="123"/>
      <c r="S5" s="123"/>
      <c r="T5" s="124"/>
      <c r="U5" s="124"/>
      <c r="V5" s="124"/>
      <c r="W5" s="124"/>
      <c r="X5" s="124"/>
      <c r="Y5" s="124"/>
      <c r="Z5" s="124"/>
      <c r="AA5" s="124"/>
      <c r="AB5" s="124"/>
      <c r="AC5" s="124"/>
      <c r="AD5" s="124"/>
      <c r="AE5" s="124"/>
      <c r="AF5" s="124"/>
      <c r="AG5" s="124"/>
      <c r="AH5" s="124"/>
      <c r="AI5" s="125"/>
      <c r="AJ5" s="125"/>
      <c r="AK5" s="126"/>
    </row>
    <row r="6" spans="1:37" s="3" customFormat="1" ht="18" hidden="1" customHeight="1" x14ac:dyDescent="0.25">
      <c r="A6" s="89"/>
      <c r="B6" s="193" t="s">
        <v>6</v>
      </c>
      <c r="C6" s="194"/>
      <c r="D6" s="194"/>
      <c r="E6" s="90"/>
      <c r="F6" s="90"/>
      <c r="G6" s="90"/>
      <c r="H6" s="90"/>
      <c r="I6" s="90"/>
      <c r="J6" s="90"/>
      <c r="K6" s="90"/>
      <c r="L6" s="90"/>
      <c r="M6" s="90"/>
      <c r="N6" s="91"/>
      <c r="O6" s="90"/>
      <c r="P6" s="92"/>
      <c r="R6" s="127"/>
      <c r="S6" s="127"/>
      <c r="T6" s="128"/>
      <c r="U6" s="128"/>
      <c r="V6" s="128"/>
      <c r="W6" s="128"/>
      <c r="X6" s="128"/>
      <c r="Y6" s="128"/>
      <c r="Z6" s="128"/>
      <c r="AA6" s="128"/>
      <c r="AB6" s="128"/>
      <c r="AC6" s="128"/>
      <c r="AD6" s="128"/>
      <c r="AE6" s="128"/>
      <c r="AF6" s="128"/>
      <c r="AG6" s="128"/>
      <c r="AH6" s="128"/>
      <c r="AI6" s="129"/>
      <c r="AJ6" s="129"/>
      <c r="AK6" s="126"/>
    </row>
    <row r="7" spans="1:37" s="3" customFormat="1" ht="12.75" hidden="1" customHeight="1" x14ac:dyDescent="0.25">
      <c r="A7" s="93"/>
      <c r="B7" s="93"/>
      <c r="N7" s="10"/>
      <c r="P7" s="94"/>
      <c r="R7" s="123"/>
      <c r="S7" s="123"/>
      <c r="T7" s="120"/>
      <c r="U7" s="120"/>
      <c r="V7" s="120"/>
      <c r="W7" s="120"/>
      <c r="X7" s="120"/>
      <c r="Y7" s="82"/>
      <c r="Z7" s="82"/>
      <c r="AA7" s="82"/>
      <c r="AB7" s="82"/>
      <c r="AC7" s="82"/>
      <c r="AD7" s="60"/>
      <c r="AE7" s="60"/>
      <c r="AF7" s="60"/>
      <c r="AG7" s="60"/>
      <c r="AH7" s="60"/>
      <c r="AI7" s="75"/>
      <c r="AJ7" s="75"/>
      <c r="AK7" s="126"/>
    </row>
    <row r="8" spans="1:37" s="3" customFormat="1" ht="12.75" hidden="1" customHeight="1" x14ac:dyDescent="0.25">
      <c r="A8" s="93"/>
      <c r="B8" s="198" t="s">
        <v>121</v>
      </c>
      <c r="C8" s="187"/>
      <c r="D8" s="187"/>
      <c r="E8" s="44">
        <v>60</v>
      </c>
      <c r="F8" s="4"/>
      <c r="G8" s="4" t="s">
        <v>122</v>
      </c>
      <c r="J8" s="95"/>
      <c r="N8" s="10"/>
      <c r="P8" s="94"/>
      <c r="R8" s="123"/>
      <c r="S8" s="123"/>
      <c r="T8" s="120"/>
      <c r="U8" s="120"/>
      <c r="V8" s="120"/>
      <c r="W8" s="120"/>
      <c r="X8" s="120"/>
      <c r="Y8" s="82"/>
      <c r="Z8" s="82"/>
      <c r="AA8" s="82"/>
      <c r="AB8" s="82"/>
      <c r="AC8" s="82"/>
      <c r="AD8" s="60"/>
      <c r="AE8" s="60"/>
      <c r="AF8" s="60"/>
      <c r="AG8" s="60"/>
      <c r="AH8" s="60"/>
      <c r="AI8" s="75"/>
      <c r="AJ8" s="75"/>
      <c r="AK8" s="126"/>
    </row>
    <row r="9" spans="1:37" s="3" customFormat="1" ht="12.75" hidden="1" customHeight="1" x14ac:dyDescent="0.25">
      <c r="A9" s="93"/>
      <c r="B9" s="113"/>
      <c r="C9" s="6"/>
      <c r="D9" s="4"/>
      <c r="E9" s="14"/>
      <c r="F9" s="4"/>
      <c r="G9" s="4"/>
      <c r="J9" s="10"/>
      <c r="N9" s="10"/>
      <c r="P9" s="94"/>
      <c r="R9" s="123"/>
      <c r="S9" s="123"/>
      <c r="T9" s="120"/>
      <c r="U9" s="120"/>
      <c r="V9" s="120"/>
      <c r="W9" s="120"/>
      <c r="X9" s="120"/>
      <c r="Y9" s="82"/>
      <c r="Z9" s="82"/>
      <c r="AA9" s="82"/>
      <c r="AB9" s="82"/>
      <c r="AC9" s="82"/>
      <c r="AD9" s="60"/>
      <c r="AE9" s="60"/>
      <c r="AF9" s="60"/>
      <c r="AG9" s="60"/>
      <c r="AH9" s="60"/>
      <c r="AI9" s="75"/>
      <c r="AJ9" s="75"/>
      <c r="AK9" s="126"/>
    </row>
    <row r="10" spans="1:37" s="3" customFormat="1" ht="12.75" hidden="1" customHeight="1" x14ac:dyDescent="0.25">
      <c r="A10" s="93"/>
      <c r="B10" s="198" t="s">
        <v>128</v>
      </c>
      <c r="C10" s="187"/>
      <c r="D10" s="187"/>
      <c r="E10" s="44" t="s">
        <v>16</v>
      </c>
      <c r="H10" s="10"/>
      <c r="L10" s="10"/>
      <c r="P10" s="94"/>
      <c r="R10" s="123"/>
      <c r="S10" s="123"/>
      <c r="T10" s="120"/>
      <c r="U10" s="120"/>
      <c r="V10" s="120"/>
      <c r="W10" s="120"/>
      <c r="X10" s="120"/>
      <c r="Y10" s="82"/>
      <c r="Z10" s="82"/>
      <c r="AA10" s="82"/>
      <c r="AB10" s="82"/>
      <c r="AC10" s="82"/>
      <c r="AD10" s="60"/>
      <c r="AE10" s="60"/>
      <c r="AF10" s="60"/>
      <c r="AG10" s="60"/>
      <c r="AH10" s="60"/>
      <c r="AI10" s="75"/>
      <c r="AJ10" s="75"/>
      <c r="AK10" s="126"/>
    </row>
    <row r="11" spans="1:37" s="3" customFormat="1" ht="12.75" hidden="1" customHeight="1" x14ac:dyDescent="0.25">
      <c r="A11" s="93"/>
      <c r="B11" s="112"/>
      <c r="C11" s="15"/>
      <c r="D11" s="4"/>
      <c r="E11" s="14"/>
      <c r="F11" s="4"/>
      <c r="G11" s="4"/>
      <c r="J11" s="10"/>
      <c r="N11" s="10"/>
      <c r="P11" s="94"/>
      <c r="R11" s="123"/>
      <c r="S11" s="123"/>
      <c r="T11" s="120"/>
      <c r="U11" s="120"/>
      <c r="V11" s="120"/>
      <c r="W11" s="120"/>
      <c r="X11" s="120"/>
      <c r="Y11" s="82"/>
      <c r="Z11" s="82"/>
      <c r="AA11" s="82"/>
      <c r="AB11" s="82"/>
      <c r="AC11" s="82"/>
      <c r="AD11" s="60"/>
      <c r="AE11" s="60"/>
      <c r="AF11" s="60"/>
      <c r="AG11" s="60"/>
      <c r="AH11" s="60"/>
      <c r="AI11" s="75"/>
      <c r="AJ11" s="75"/>
      <c r="AK11" s="126"/>
    </row>
    <row r="12" spans="1:37" s="3" customFormat="1" ht="12.75" hidden="1" customHeight="1" x14ac:dyDescent="0.25">
      <c r="A12" s="93"/>
      <c r="B12" s="198" t="s">
        <v>7</v>
      </c>
      <c r="C12" s="187"/>
      <c r="D12" s="187"/>
      <c r="E12" s="45">
        <v>1500</v>
      </c>
      <c r="F12" s="4"/>
      <c r="G12" s="4"/>
      <c r="J12" s="10"/>
      <c r="N12" s="10"/>
      <c r="P12" s="94"/>
      <c r="R12" s="75"/>
      <c r="S12" s="75"/>
      <c r="T12" s="60"/>
      <c r="U12" s="60"/>
      <c r="V12" s="60"/>
      <c r="W12" s="60"/>
      <c r="X12" s="60"/>
      <c r="Y12" s="60"/>
      <c r="Z12" s="60"/>
      <c r="AA12" s="60"/>
      <c r="AB12" s="60"/>
      <c r="AC12" s="60"/>
      <c r="AD12" s="60"/>
      <c r="AE12" s="60"/>
      <c r="AF12" s="60"/>
      <c r="AG12" s="60"/>
      <c r="AH12" s="60"/>
      <c r="AI12" s="75"/>
      <c r="AJ12" s="75"/>
      <c r="AK12" s="126"/>
    </row>
    <row r="13" spans="1:37" s="3" customFormat="1" ht="12.75" hidden="1" customHeight="1" x14ac:dyDescent="0.25">
      <c r="A13" s="93"/>
      <c r="B13" s="114"/>
      <c r="C13" s="4"/>
      <c r="D13" s="4"/>
      <c r="E13" s="4"/>
      <c r="F13" s="4"/>
      <c r="G13" s="4"/>
      <c r="J13" s="10"/>
      <c r="N13" s="10"/>
      <c r="P13" s="94"/>
      <c r="R13" s="75"/>
      <c r="S13" s="75"/>
      <c r="T13" s="60"/>
      <c r="U13" s="60"/>
      <c r="V13" s="60"/>
      <c r="W13" s="60"/>
      <c r="X13" s="60"/>
      <c r="Y13" s="60"/>
      <c r="Z13" s="60"/>
      <c r="AA13" s="60"/>
      <c r="AB13" s="60"/>
      <c r="AC13" s="60"/>
      <c r="AD13" s="60"/>
      <c r="AE13" s="60"/>
      <c r="AF13" s="60"/>
      <c r="AG13" s="60"/>
      <c r="AH13" s="60"/>
      <c r="AI13" s="75"/>
      <c r="AJ13" s="75"/>
      <c r="AK13" s="126"/>
    </row>
    <row r="14" spans="1:37" s="3" customFormat="1" ht="12.75" hidden="1" customHeight="1" x14ac:dyDescent="0.25">
      <c r="A14" s="93"/>
      <c r="B14" s="198" t="s">
        <v>98</v>
      </c>
      <c r="C14" s="187"/>
      <c r="D14" s="4"/>
      <c r="E14" s="44">
        <v>1.5</v>
      </c>
      <c r="F14" s="4"/>
      <c r="G14" s="4"/>
      <c r="N14" s="10"/>
      <c r="P14" s="94"/>
      <c r="R14" s="75"/>
      <c r="S14" s="75"/>
      <c r="T14" s="60"/>
      <c r="U14" s="60"/>
      <c r="V14" s="60"/>
      <c r="W14" s="60"/>
      <c r="X14" s="60"/>
      <c r="Y14" s="60"/>
      <c r="Z14" s="60"/>
      <c r="AA14" s="60"/>
      <c r="AB14" s="60"/>
      <c r="AC14" s="60"/>
      <c r="AD14" s="60"/>
      <c r="AE14" s="60"/>
      <c r="AF14" s="60"/>
      <c r="AG14" s="60"/>
      <c r="AH14" s="60"/>
      <c r="AI14" s="75"/>
      <c r="AJ14" s="75"/>
      <c r="AK14" s="126"/>
    </row>
    <row r="15" spans="1:37" s="3" customFormat="1" ht="12.75" hidden="1" customHeight="1" x14ac:dyDescent="0.25">
      <c r="A15" s="93"/>
      <c r="B15" s="114"/>
      <c r="C15" s="4"/>
      <c r="D15" s="4"/>
      <c r="E15" s="38"/>
      <c r="F15" s="4"/>
      <c r="G15" s="4"/>
      <c r="J15" s="10"/>
      <c r="N15" s="10"/>
      <c r="P15" s="94"/>
      <c r="R15" s="75"/>
      <c r="S15" s="75"/>
      <c r="T15" s="60"/>
      <c r="U15" s="60"/>
      <c r="V15" s="60"/>
      <c r="W15" s="60"/>
      <c r="X15" s="60"/>
      <c r="Y15" s="60"/>
      <c r="Z15" s="60"/>
      <c r="AA15" s="60"/>
      <c r="AB15" s="60"/>
      <c r="AC15" s="60"/>
      <c r="AD15" s="60"/>
      <c r="AE15" s="60"/>
      <c r="AF15" s="60"/>
      <c r="AG15" s="60"/>
      <c r="AH15" s="60"/>
      <c r="AI15" s="75"/>
      <c r="AJ15" s="75"/>
      <c r="AK15" s="126"/>
    </row>
    <row r="16" spans="1:37" s="3" customFormat="1" ht="12.75" hidden="1" customHeight="1" x14ac:dyDescent="0.25">
      <c r="A16" s="93"/>
      <c r="B16" s="195" t="s">
        <v>101</v>
      </c>
      <c r="C16" s="142"/>
      <c r="D16" s="142"/>
      <c r="E16" s="38"/>
      <c r="F16" s="4"/>
      <c r="G16" s="4"/>
      <c r="J16" s="142" t="s">
        <v>102</v>
      </c>
      <c r="K16" s="142"/>
      <c r="L16" s="142"/>
      <c r="N16" s="10"/>
      <c r="P16" s="94"/>
      <c r="R16" s="75"/>
      <c r="S16" s="75"/>
      <c r="T16" s="60"/>
      <c r="U16" s="60"/>
      <c r="V16" s="60"/>
      <c r="W16" s="60"/>
      <c r="X16" s="60"/>
      <c r="Y16" s="60"/>
      <c r="Z16" s="60"/>
      <c r="AA16" s="36"/>
      <c r="AB16" s="36"/>
      <c r="AC16" s="36"/>
      <c r="AD16" s="36"/>
      <c r="AE16" s="36"/>
      <c r="AF16" s="60"/>
      <c r="AG16" s="60"/>
      <c r="AH16" s="60"/>
      <c r="AI16" s="75"/>
      <c r="AJ16" s="75"/>
      <c r="AK16" s="126"/>
    </row>
    <row r="17" spans="1:37" s="3" customFormat="1" ht="12.75" hidden="1" customHeight="1" x14ac:dyDescent="0.25">
      <c r="A17" s="93"/>
      <c r="B17" s="114"/>
      <c r="C17" s="4"/>
      <c r="D17" s="4"/>
      <c r="E17" s="4"/>
      <c r="F17" s="4"/>
      <c r="G17" s="4"/>
      <c r="J17" s="10"/>
      <c r="P17" s="94"/>
      <c r="R17" s="36"/>
      <c r="S17" s="36"/>
      <c r="T17" s="36"/>
      <c r="U17" s="36"/>
      <c r="V17" s="36"/>
      <c r="W17" s="60"/>
      <c r="X17" s="60"/>
      <c r="Y17" s="60"/>
      <c r="Z17" s="127"/>
      <c r="AA17" s="128"/>
      <c r="AB17" s="128"/>
      <c r="AC17" s="128"/>
      <c r="AD17" s="128"/>
      <c r="AE17" s="128"/>
      <c r="AF17" s="128"/>
      <c r="AG17" s="128"/>
      <c r="AH17" s="128"/>
      <c r="AI17" s="128"/>
      <c r="AJ17" s="128"/>
      <c r="AK17" s="126"/>
    </row>
    <row r="18" spans="1:37" s="3" customFormat="1" ht="32.25" hidden="1" customHeight="1" x14ac:dyDescent="0.25">
      <c r="A18" s="93"/>
      <c r="B18" s="199" t="s">
        <v>8</v>
      </c>
      <c r="C18" s="146"/>
      <c r="D18" s="190" t="s">
        <v>123</v>
      </c>
      <c r="E18" s="190"/>
      <c r="F18" s="190"/>
      <c r="G18" s="190"/>
      <c r="H18" s="190"/>
      <c r="J18" s="145" t="s">
        <v>8</v>
      </c>
      <c r="K18" s="146"/>
      <c r="L18" s="201" t="s">
        <v>117</v>
      </c>
      <c r="M18" s="202"/>
      <c r="N18" s="202"/>
      <c r="O18" s="202"/>
      <c r="P18" s="203"/>
      <c r="R18" s="75"/>
      <c r="S18" s="75"/>
      <c r="T18" s="36"/>
      <c r="U18" s="36"/>
      <c r="V18" s="36"/>
      <c r="W18" s="60"/>
      <c r="X18" s="60"/>
      <c r="Y18" s="60"/>
      <c r="Z18" s="123"/>
      <c r="AA18" s="120"/>
      <c r="AB18" s="120"/>
      <c r="AC18" s="120"/>
      <c r="AD18" s="120"/>
      <c r="AE18" s="120"/>
      <c r="AF18" s="120"/>
      <c r="AG18" s="120"/>
      <c r="AH18" s="120"/>
      <c r="AI18" s="120"/>
      <c r="AJ18" s="120"/>
      <c r="AK18" s="126"/>
    </row>
    <row r="19" spans="1:37" s="3" customFormat="1" ht="12.75" hidden="1" customHeight="1" x14ac:dyDescent="0.25">
      <c r="A19" s="93"/>
      <c r="B19" s="185"/>
      <c r="C19" s="144"/>
      <c r="D19" s="2" t="s">
        <v>2</v>
      </c>
      <c r="E19" s="2" t="s">
        <v>0</v>
      </c>
      <c r="F19" s="2" t="s">
        <v>4</v>
      </c>
      <c r="G19" s="2" t="s">
        <v>3</v>
      </c>
      <c r="H19" s="2" t="s">
        <v>1</v>
      </c>
      <c r="J19" s="147"/>
      <c r="K19" s="148"/>
      <c r="L19" s="2" t="s">
        <v>2</v>
      </c>
      <c r="M19" s="2" t="s">
        <v>0</v>
      </c>
      <c r="N19" s="2" t="s">
        <v>4</v>
      </c>
      <c r="O19" s="2" t="s">
        <v>3</v>
      </c>
      <c r="P19" s="115" t="s">
        <v>1</v>
      </c>
      <c r="R19" s="75"/>
      <c r="S19" s="75"/>
      <c r="T19" s="60"/>
      <c r="U19" s="60"/>
      <c r="V19" s="60"/>
      <c r="W19" s="60"/>
      <c r="X19" s="60"/>
      <c r="Y19" s="60"/>
      <c r="Z19" s="123"/>
      <c r="AA19" s="120"/>
      <c r="AB19" s="120"/>
      <c r="AC19" s="120"/>
      <c r="AD19" s="120"/>
      <c r="AE19" s="120"/>
      <c r="AF19" s="120"/>
      <c r="AG19" s="120"/>
      <c r="AH19" s="120"/>
      <c r="AI19" s="120"/>
      <c r="AJ19" s="120"/>
      <c r="AK19" s="126"/>
    </row>
    <row r="20" spans="1:37" s="16" customFormat="1" ht="14.25" hidden="1" customHeight="1" x14ac:dyDescent="0.25">
      <c r="A20" s="96">
        <v>90</v>
      </c>
      <c r="B20" s="196" t="s">
        <v>9</v>
      </c>
      <c r="C20" s="197"/>
      <c r="D20" s="54">
        <f>((2*E14*E8*C167*SIN(RADIANS(A20/2)))/E12)</f>
        <v>3.1650099525909856</v>
      </c>
      <c r="E20" s="54">
        <f>((2*E8*D167*SIN(RADIANS(A20/2)))/E12)*E14</f>
        <v>5.4560359236354001</v>
      </c>
      <c r="F20" s="54">
        <f>((2*E8*E167*SIN(RADIANS(A20/2)))/E12)*E14</f>
        <v>8.2052670888886965</v>
      </c>
      <c r="G20" s="54">
        <f>((2*E8*F167*SIN(RADIANS(A20/2)))/E12)*E14</f>
        <v>11.607864919958363</v>
      </c>
      <c r="H20" s="54">
        <f>((2*E8*G167*SIN(RADIANS(A20/2)))/E12)*E14</f>
        <v>20.16951382656508</v>
      </c>
      <c r="J20" s="143" t="str">
        <f>B21</f>
        <v>90˚ Bend</v>
      </c>
      <c r="K20" s="144"/>
      <c r="L20" s="53">
        <f>((E14*E8*C167*SIN(RADIANS(A21)))/K150)/27</f>
        <v>0.82888888888888868</v>
      </c>
      <c r="M20" s="53">
        <f>((E14*E8*D167*SIN(RADIANS(A21)))/K150)/27</f>
        <v>1.4288888888888889</v>
      </c>
      <c r="N20" s="53">
        <f>((E14*E8*E167*SIN(RADIANS(A21)))/K150)/27</f>
        <v>2.1488888888888891</v>
      </c>
      <c r="O20" s="53">
        <f>((E14*E8*F167*SIN(RADIANS(A21)))/K150)/27</f>
        <v>3.0400000000000005</v>
      </c>
      <c r="P20" s="116">
        <f>((E14*E8*G167*SIN(RADIANS(A21)))/K150)/27</f>
        <v>5.2822222222222228</v>
      </c>
      <c r="R20" s="75"/>
      <c r="S20" s="60"/>
      <c r="T20" s="60"/>
      <c r="U20" s="60"/>
      <c r="V20" s="60"/>
      <c r="W20" s="60"/>
      <c r="X20" s="60"/>
      <c r="Y20" s="60"/>
      <c r="Z20" s="123"/>
      <c r="AA20" s="120"/>
      <c r="AB20" s="120"/>
      <c r="AC20" s="120"/>
      <c r="AD20" s="120"/>
      <c r="AE20" s="120"/>
      <c r="AF20" s="120"/>
      <c r="AG20" s="120"/>
      <c r="AH20" s="120"/>
      <c r="AI20" s="120"/>
      <c r="AJ20" s="120"/>
      <c r="AK20" s="130"/>
    </row>
    <row r="21" spans="1:37" s="3" customFormat="1" ht="14.25" hidden="1" customHeight="1" x14ac:dyDescent="0.25">
      <c r="A21" s="96">
        <v>90</v>
      </c>
      <c r="B21" s="185" t="s">
        <v>10</v>
      </c>
      <c r="C21" s="144"/>
      <c r="D21" s="54">
        <f>((2*E8*C167*SIN(RADIANS(A21/2)))/E12)*E14</f>
        <v>3.1650099525909865</v>
      </c>
      <c r="E21" s="54">
        <f>((2*E8*D167*SIN(RADIANS(A21/2)))/E12)*E14</f>
        <v>5.4560359236354001</v>
      </c>
      <c r="F21" s="54">
        <f>((2*E8*E167*SIN(RADIANS(A21/2)))/E12)*E14</f>
        <v>8.2052670888886965</v>
      </c>
      <c r="G21" s="54">
        <f>((2*E8*F167*SIN(RADIANS(A21/2)))/E12)*E14</f>
        <v>11.607864919958363</v>
      </c>
      <c r="H21" s="54">
        <f>((2*E8*G167*SIN(RADIANS(A21/2)))/E12)*E14</f>
        <v>20.16951382656508</v>
      </c>
      <c r="J21" s="143" t="str">
        <f>B22</f>
        <v>45˚ Bend</v>
      </c>
      <c r="K21" s="144"/>
      <c r="L21" s="53">
        <f>((E14*E8*C167*SIN(RADIANS(A22)))/K150)/27</f>
        <v>0.58611295418351594</v>
      </c>
      <c r="M21" s="53">
        <f>((E14*E8*D167*SIN(RADIANS(A22)))/K150)/27</f>
        <v>1.0103770228954445</v>
      </c>
      <c r="N21" s="53">
        <f>((E14*E8*E167*SIN(RADIANS(A22)))/K150)/27</f>
        <v>1.5194939053497587</v>
      </c>
      <c r="O21" s="53">
        <f>((E14*E8*F167*SIN(RADIANS(A22)))/K150)/27</f>
        <v>2.1496046148071049</v>
      </c>
      <c r="P21" s="116">
        <f>((E14*E8*G167*SIN(RADIANS(A22)))/K150)/27</f>
        <v>3.7350951530676073</v>
      </c>
      <c r="R21" s="75"/>
      <c r="S21" s="75"/>
      <c r="T21" s="120"/>
      <c r="U21" s="120"/>
      <c r="V21" s="120"/>
      <c r="W21" s="120"/>
      <c r="X21" s="120"/>
      <c r="Y21" s="60"/>
      <c r="Z21" s="123"/>
      <c r="AA21" s="120"/>
      <c r="AB21" s="120"/>
      <c r="AC21" s="120"/>
      <c r="AD21" s="120"/>
      <c r="AE21" s="120"/>
      <c r="AF21" s="120"/>
      <c r="AG21" s="120"/>
      <c r="AH21" s="120"/>
      <c r="AI21" s="120"/>
      <c r="AJ21" s="120"/>
      <c r="AK21" s="126"/>
    </row>
    <row r="22" spans="1:37" ht="14.25" hidden="1" customHeight="1" x14ac:dyDescent="0.2">
      <c r="A22" s="96">
        <v>45</v>
      </c>
      <c r="B22" s="185" t="s">
        <v>11</v>
      </c>
      <c r="C22" s="144"/>
      <c r="D22" s="54">
        <f>((2*E8*C167*SIN(RADIANS(A22/2)))/E12)*E14</f>
        <v>1.7128910432661419</v>
      </c>
      <c r="E22" s="54">
        <f>((2*E8*D167*SIN(RADIANS(A22/2)))/E12)*E14</f>
        <v>2.9527853641290327</v>
      </c>
      <c r="F22" s="54">
        <f>((2*E8*E167*SIN(RADIANS(A22/2)))/E12)*E14</f>
        <v>4.4406585491645014</v>
      </c>
      <c r="G22" s="54">
        <f>((2*E8*F167*SIN(RADIANS(A22/2)))/E12)*E14</f>
        <v>6.2821312257053137</v>
      </c>
      <c r="H22" s="54">
        <f>((2*E8*G167*SIN(RADIANS(A22/2)))/E12)*E14</f>
        <v>10.915662224781821</v>
      </c>
      <c r="I22" s="5"/>
      <c r="J22" s="143" t="str">
        <f>B23</f>
        <v>22.5˚ Bend</v>
      </c>
      <c r="K22" s="144"/>
      <c r="L22" s="53">
        <f>((E14*E8*C167*SIN(RADIANS(A23)))/K150)/27</f>
        <v>0.31720204504928551</v>
      </c>
      <c r="M22" s="53">
        <f>((E14*E8*D167*SIN(RADIANS(A23)))/K150)/27</f>
        <v>0.5468121044683395</v>
      </c>
      <c r="N22" s="53">
        <f>((E14*E8*E167*SIN(RADIANS(A23)))/K150)/27</f>
        <v>0.822344175771204</v>
      </c>
      <c r="O22" s="53">
        <f>((E14*E8*F167*SIN(RADIANS(A23)))/K150)/27</f>
        <v>1.1633576343898733</v>
      </c>
      <c r="P22" s="116">
        <f>((E14*E8*G167*SIN(RADIANS(A23)))/K150)/27</f>
        <v>2.0214189305151518</v>
      </c>
      <c r="R22" s="76"/>
      <c r="S22" s="75"/>
      <c r="T22" s="120"/>
      <c r="U22" s="120"/>
      <c r="V22" s="120"/>
      <c r="W22" s="120"/>
      <c r="X22" s="120"/>
      <c r="Y22" s="60"/>
      <c r="Z22" s="123"/>
      <c r="AA22" s="120"/>
      <c r="AB22" s="120"/>
      <c r="AC22" s="120"/>
      <c r="AD22" s="120"/>
      <c r="AE22" s="120"/>
      <c r="AF22" s="120"/>
      <c r="AG22" s="120"/>
      <c r="AH22" s="120"/>
      <c r="AI22" s="120"/>
      <c r="AJ22" s="120"/>
      <c r="AK22" s="75"/>
    </row>
    <row r="23" spans="1:37" ht="14.25" hidden="1" customHeight="1" x14ac:dyDescent="0.2">
      <c r="A23" s="96">
        <v>22.5</v>
      </c>
      <c r="B23" s="185" t="s">
        <v>99</v>
      </c>
      <c r="C23" s="144"/>
      <c r="D23" s="54">
        <f>((2*E8*C167*SIN(RADIANS(A23/2)))/E12)*E14</f>
        <v>0.87322428134419006</v>
      </c>
      <c r="E23" s="54">
        <f>((2*E8*D167*SIN(RADIANS(A23/2)))/E12)*E14</f>
        <v>1.5053169246764453</v>
      </c>
      <c r="F23" s="54">
        <f>((2*E8*E167*SIN(RADIANS(A23/2)))/E12)*E14</f>
        <v>2.2638280966751525</v>
      </c>
      <c r="G23" s="54">
        <f>((2*E8*F167*SIN(RADIANS(A23/2)))/E12)*E14</f>
        <v>3.2026027262167611</v>
      </c>
      <c r="H23" s="54">
        <f>((2*E8*G167*SIN(RADIANS(A23/2)))/E12)*E14</f>
        <v>5.5647563451880426</v>
      </c>
      <c r="I23" s="5"/>
      <c r="J23" s="182" t="str">
        <f>B24</f>
        <v>11.25˚ Bend</v>
      </c>
      <c r="K23" s="182"/>
      <c r="L23" s="53">
        <f>((E14*E8*C167*SIN(RADIANS(A24)))/K150)/27</f>
        <v>0.16170820024892404</v>
      </c>
      <c r="M23" s="53">
        <f>((E14*E8*D167*SIN(RADIANS(A24)))/K150)/27</f>
        <v>0.27876239345860099</v>
      </c>
      <c r="N23" s="53">
        <f>((E14*E8*E167*SIN(RADIANS(A24)))/K150)/27</f>
        <v>0.41922742531021334</v>
      </c>
      <c r="O23" s="53">
        <f>((E14*E8*F167*SIN(RADIANS(A24)))/K150)/27</f>
        <v>0.59307457892903004</v>
      </c>
      <c r="P23" s="116">
        <f>((E14*E8*G167*SIN(RADIANS(A24)))/K150)/27</f>
        <v>1.0305104342940821</v>
      </c>
      <c r="R23" s="76"/>
      <c r="S23" s="75"/>
      <c r="T23" s="120"/>
      <c r="U23" s="120"/>
      <c r="V23" s="120"/>
      <c r="W23" s="120"/>
      <c r="X23" s="120"/>
      <c r="Y23" s="60"/>
      <c r="Z23" s="60"/>
      <c r="AA23" s="60"/>
      <c r="AB23" s="60"/>
      <c r="AC23" s="60"/>
      <c r="AD23" s="60"/>
      <c r="AE23" s="60"/>
      <c r="AF23" s="60"/>
      <c r="AG23" s="60"/>
      <c r="AH23" s="60"/>
      <c r="AI23" s="75"/>
      <c r="AJ23" s="75"/>
      <c r="AK23" s="75"/>
    </row>
    <row r="24" spans="1:37" ht="14.25" hidden="1" customHeight="1" x14ac:dyDescent="0.2">
      <c r="A24" s="96">
        <v>11.25</v>
      </c>
      <c r="B24" s="185" t="s">
        <v>100</v>
      </c>
      <c r="C24" s="144"/>
      <c r="D24" s="54">
        <f>((2*E8*C167*SIN(RADIANS(A24/2)))/E12)*E14</f>
        <v>0.43872472011511332</v>
      </c>
      <c r="E24" s="54">
        <f>((2*E8*D167*SIN(RADIANS(A24/2)))/E12)*E14</f>
        <v>0.75630025478288965</v>
      </c>
      <c r="F24" s="54">
        <f>((2*E8*E167*SIN(RADIANS(A24/2)))/E12)*E14</f>
        <v>1.137390896384221</v>
      </c>
      <c r="G24" s="54">
        <f>((2*E8*F167*SIN(RADIANS(A24/2)))/E12)*E14</f>
        <v>1.6090493756500668</v>
      </c>
      <c r="H24" s="54">
        <f>((2*E8*G167*SIN(RADIANS(A24/2)))/E12)*E14</f>
        <v>2.7958409107603863</v>
      </c>
      <c r="I24" s="5"/>
      <c r="J24" s="5"/>
      <c r="K24" s="5"/>
      <c r="L24" s="5"/>
      <c r="M24" s="5"/>
      <c r="N24" s="5"/>
      <c r="O24" s="10"/>
      <c r="P24" s="97"/>
      <c r="R24" s="76"/>
      <c r="S24" s="75"/>
      <c r="T24" s="120"/>
      <c r="U24" s="120"/>
      <c r="V24" s="120"/>
      <c r="W24" s="120"/>
      <c r="X24" s="120"/>
      <c r="Y24" s="60"/>
      <c r="Z24" s="60"/>
      <c r="AA24" s="60"/>
      <c r="AB24" s="60"/>
      <c r="AC24" s="60"/>
      <c r="AD24" s="60"/>
      <c r="AE24" s="60"/>
      <c r="AF24" s="60"/>
      <c r="AG24" s="60"/>
      <c r="AH24" s="60"/>
      <c r="AI24" s="75"/>
      <c r="AJ24" s="75"/>
      <c r="AK24" s="75"/>
    </row>
    <row r="25" spans="1:37" ht="12.75" hidden="1" customHeight="1" thickBot="1" x14ac:dyDescent="0.25">
      <c r="A25" s="99"/>
      <c r="B25" s="117"/>
      <c r="C25" s="86"/>
      <c r="D25" s="86"/>
      <c r="E25" s="86"/>
      <c r="F25" s="86"/>
      <c r="G25" s="86"/>
      <c r="H25" s="17"/>
      <c r="I25" s="17"/>
      <c r="J25" s="17"/>
      <c r="K25" s="17"/>
      <c r="L25" s="17"/>
      <c r="M25" s="17"/>
      <c r="N25" s="17"/>
      <c r="O25" s="87"/>
      <c r="P25" s="100"/>
      <c r="Q25" s="8"/>
      <c r="R25" s="76"/>
      <c r="S25" s="75"/>
      <c r="T25" s="120"/>
      <c r="U25" s="120"/>
      <c r="V25" s="120"/>
      <c r="W25" s="120"/>
      <c r="X25" s="120"/>
      <c r="Y25" s="60"/>
      <c r="Z25" s="60"/>
      <c r="AA25" s="36"/>
      <c r="AB25" s="36"/>
      <c r="AC25" s="36"/>
      <c r="AD25" s="36"/>
      <c r="AE25" s="36"/>
      <c r="AF25" s="60"/>
      <c r="AG25" s="60"/>
      <c r="AH25" s="60"/>
      <c r="AI25" s="75"/>
      <c r="AJ25" s="75"/>
      <c r="AK25" s="75"/>
    </row>
    <row r="26" spans="1:37" ht="12.75" customHeight="1" x14ac:dyDescent="0.2">
      <c r="A26" s="101"/>
      <c r="B26" s="102"/>
      <c r="C26" s="103"/>
      <c r="D26" s="103"/>
      <c r="E26" s="103"/>
      <c r="F26" s="103"/>
      <c r="G26" s="103"/>
      <c r="H26" s="56"/>
      <c r="I26" s="56"/>
      <c r="J26" s="56"/>
      <c r="K26" s="56"/>
      <c r="L26" s="56"/>
      <c r="M26" s="56"/>
      <c r="N26" s="56"/>
      <c r="O26" s="104"/>
      <c r="P26" s="105"/>
      <c r="Q26" s="8"/>
      <c r="R26" s="75"/>
      <c r="S26" s="75"/>
      <c r="T26" s="60"/>
      <c r="U26" s="60"/>
      <c r="V26" s="60"/>
      <c r="W26" s="60"/>
      <c r="X26" s="60"/>
      <c r="Y26" s="60"/>
      <c r="Z26" s="127"/>
      <c r="AA26" s="128"/>
      <c r="AB26" s="128"/>
      <c r="AC26" s="128"/>
      <c r="AD26" s="128"/>
      <c r="AE26" s="128"/>
      <c r="AF26" s="128"/>
      <c r="AG26" s="128"/>
      <c r="AH26" s="128"/>
      <c r="AI26" s="128"/>
      <c r="AJ26" s="128"/>
      <c r="AK26" s="75"/>
    </row>
    <row r="27" spans="1:37" ht="18" customHeight="1" x14ac:dyDescent="0.25">
      <c r="A27" s="96"/>
      <c r="B27" s="204" t="s">
        <v>106</v>
      </c>
      <c r="C27" s="204"/>
      <c r="D27" s="204"/>
      <c r="E27" s="204"/>
      <c r="F27" s="60"/>
      <c r="G27" s="60"/>
      <c r="H27" s="5"/>
      <c r="I27" s="5"/>
      <c r="J27" s="5"/>
      <c r="K27" s="5"/>
      <c r="L27" s="5"/>
      <c r="M27" s="5"/>
      <c r="N27" s="5"/>
      <c r="O27" s="22"/>
      <c r="P27" s="98"/>
      <c r="Q27" s="8"/>
      <c r="R27" s="75"/>
      <c r="S27" s="75"/>
      <c r="T27" s="60"/>
      <c r="U27" s="60"/>
      <c r="V27" s="60"/>
      <c r="W27" s="60"/>
      <c r="X27" s="60"/>
      <c r="Y27" s="60"/>
      <c r="Z27" s="123"/>
      <c r="AA27" s="120"/>
      <c r="AB27" s="120"/>
      <c r="AC27" s="120"/>
      <c r="AD27" s="120"/>
      <c r="AE27" s="120"/>
      <c r="AF27" s="82"/>
      <c r="AG27" s="82"/>
      <c r="AH27" s="82"/>
      <c r="AI27" s="82"/>
      <c r="AJ27" s="82"/>
      <c r="AK27" s="75"/>
    </row>
    <row r="28" spans="1:37" ht="12.75" customHeight="1" x14ac:dyDescent="0.2">
      <c r="A28" s="96"/>
      <c r="B28" s="75"/>
      <c r="C28" s="60"/>
      <c r="D28" s="60"/>
      <c r="E28" s="60"/>
      <c r="F28" s="60"/>
      <c r="G28" s="4" t="s">
        <v>122</v>
      </c>
      <c r="H28" s="5"/>
      <c r="I28" s="5"/>
      <c r="J28" s="5"/>
      <c r="K28" s="5"/>
      <c r="L28" s="5"/>
      <c r="M28" s="5"/>
      <c r="N28" s="5"/>
      <c r="O28" s="10"/>
      <c r="P28" s="97"/>
      <c r="R28" s="75"/>
      <c r="S28" s="75"/>
      <c r="T28" s="38"/>
      <c r="U28" s="60"/>
      <c r="V28" s="60"/>
      <c r="W28" s="60"/>
      <c r="X28" s="60"/>
      <c r="Y28" s="60"/>
      <c r="Z28" s="123"/>
      <c r="AA28" s="120"/>
      <c r="AB28" s="120"/>
      <c r="AC28" s="120"/>
      <c r="AD28" s="120"/>
      <c r="AE28" s="120"/>
      <c r="AF28" s="82"/>
      <c r="AG28" s="82"/>
      <c r="AH28" s="82"/>
      <c r="AI28" s="82"/>
      <c r="AJ28" s="82"/>
      <c r="AK28" s="75"/>
    </row>
    <row r="29" spans="1:37" ht="12.75" customHeight="1" x14ac:dyDescent="0.2">
      <c r="A29" s="96"/>
      <c r="B29" s="62" t="s">
        <v>121</v>
      </c>
      <c r="C29" s="60"/>
      <c r="D29" s="60"/>
      <c r="E29" s="44">
        <v>60</v>
      </c>
      <c r="F29" s="60"/>
      <c r="G29" s="5"/>
      <c r="H29" s="5"/>
      <c r="I29" s="5"/>
      <c r="J29" s="5"/>
      <c r="K29" s="5"/>
      <c r="L29" s="5"/>
      <c r="M29" s="5"/>
      <c r="N29" s="5"/>
      <c r="O29" s="10"/>
      <c r="P29" s="97"/>
      <c r="R29" s="75"/>
      <c r="S29" s="75"/>
      <c r="T29" s="60"/>
      <c r="U29" s="60"/>
      <c r="V29" s="60"/>
      <c r="W29" s="60"/>
      <c r="X29" s="60"/>
      <c r="Y29" s="60"/>
      <c r="Z29" s="123"/>
      <c r="AA29" s="120"/>
      <c r="AB29" s="120"/>
      <c r="AC29" s="120"/>
      <c r="AD29" s="120"/>
      <c r="AE29" s="120"/>
      <c r="AF29" s="82"/>
      <c r="AG29" s="82"/>
      <c r="AH29" s="82"/>
      <c r="AI29" s="82"/>
      <c r="AJ29" s="82"/>
      <c r="AK29" s="75"/>
    </row>
    <row r="30" spans="1:37" ht="12.75" customHeight="1" x14ac:dyDescent="0.2">
      <c r="A30" s="96"/>
      <c r="B30" s="62"/>
      <c r="C30" s="60"/>
      <c r="D30" s="60"/>
      <c r="E30" s="38"/>
      <c r="F30" s="60"/>
      <c r="G30" s="60"/>
      <c r="H30" s="186" t="s">
        <v>37</v>
      </c>
      <c r="I30" s="186"/>
      <c r="J30" s="186"/>
      <c r="K30" s="186"/>
      <c r="L30" s="186"/>
      <c r="M30" s="186"/>
      <c r="N30" s="5"/>
      <c r="O30" s="10"/>
      <c r="P30" s="97"/>
      <c r="R30" s="75"/>
      <c r="S30" s="75"/>
      <c r="T30" s="60"/>
      <c r="U30" s="60"/>
      <c r="V30" s="60"/>
      <c r="W30" s="60"/>
      <c r="X30" s="60"/>
      <c r="Y30" s="60"/>
      <c r="Z30" s="123"/>
      <c r="AA30" s="120"/>
      <c r="AB30" s="120"/>
      <c r="AC30" s="120"/>
      <c r="AD30" s="120"/>
      <c r="AE30" s="120"/>
      <c r="AF30" s="82"/>
      <c r="AG30" s="82"/>
      <c r="AH30" s="82"/>
      <c r="AI30" s="82"/>
      <c r="AJ30" s="82"/>
      <c r="AK30" s="75"/>
    </row>
    <row r="31" spans="1:37" ht="12.75" customHeight="1" x14ac:dyDescent="0.2">
      <c r="A31" s="96"/>
      <c r="B31" s="62" t="s">
        <v>56</v>
      </c>
      <c r="C31" s="60"/>
      <c r="D31" s="60"/>
      <c r="E31" s="44">
        <v>3</v>
      </c>
      <c r="F31" s="60"/>
      <c r="G31" s="60"/>
      <c r="H31" s="200" t="s">
        <v>130</v>
      </c>
      <c r="I31" s="200"/>
      <c r="J31" s="200"/>
      <c r="K31" s="200"/>
      <c r="L31" s="200"/>
      <c r="M31" s="200"/>
      <c r="N31" s="5"/>
      <c r="O31" s="10"/>
      <c r="P31" s="97"/>
      <c r="R31" s="75"/>
      <c r="S31" s="75"/>
      <c r="T31" s="60"/>
      <c r="U31" s="60"/>
      <c r="V31" s="60"/>
      <c r="W31" s="60"/>
      <c r="X31" s="60"/>
      <c r="Y31" s="60"/>
      <c r="Z31" s="123"/>
      <c r="AA31" s="120"/>
      <c r="AB31" s="120"/>
      <c r="AC31" s="120"/>
      <c r="AD31" s="120"/>
      <c r="AE31" s="120"/>
      <c r="AF31" s="82"/>
      <c r="AG31" s="82"/>
      <c r="AH31" s="82"/>
      <c r="AI31" s="82"/>
      <c r="AJ31" s="82"/>
      <c r="AK31" s="75"/>
    </row>
    <row r="32" spans="1:37" ht="15.75" x14ac:dyDescent="0.3">
      <c r="A32" s="96"/>
      <c r="B32" s="62"/>
      <c r="C32" s="5"/>
      <c r="D32" s="5"/>
      <c r="E32" s="5"/>
      <c r="F32" s="5"/>
      <c r="G32" s="5"/>
      <c r="H32" s="60" t="s">
        <v>44</v>
      </c>
      <c r="I32" s="5" t="s">
        <v>45</v>
      </c>
      <c r="J32" s="5" t="s">
        <v>46</v>
      </c>
      <c r="K32" s="5" t="s">
        <v>47</v>
      </c>
      <c r="L32" s="60" t="s">
        <v>48</v>
      </c>
      <c r="M32" s="60" t="s">
        <v>49</v>
      </c>
      <c r="N32" s="5"/>
      <c r="O32" s="10"/>
      <c r="P32" s="97"/>
      <c r="R32" s="75"/>
      <c r="S32" s="75"/>
      <c r="T32" s="60"/>
      <c r="U32" s="60"/>
      <c r="V32" s="60"/>
      <c r="W32" s="60"/>
      <c r="X32" s="60"/>
      <c r="Y32" s="60"/>
      <c r="Z32" s="60"/>
      <c r="AA32" s="60"/>
      <c r="AB32" s="60"/>
      <c r="AC32" s="60"/>
      <c r="AD32" s="60"/>
      <c r="AE32" s="60"/>
      <c r="AF32" s="60"/>
      <c r="AG32" s="60"/>
      <c r="AH32" s="60"/>
      <c r="AI32" s="75"/>
      <c r="AJ32" s="75"/>
      <c r="AK32" s="75"/>
    </row>
    <row r="33" spans="1:37" x14ac:dyDescent="0.2">
      <c r="A33" s="96"/>
      <c r="B33" s="187" t="s">
        <v>128</v>
      </c>
      <c r="C33" s="187"/>
      <c r="D33" s="187"/>
      <c r="E33" s="14" t="s">
        <v>34</v>
      </c>
      <c r="F33" s="5"/>
      <c r="G33" s="5"/>
      <c r="H33" s="106">
        <v>30</v>
      </c>
      <c r="I33" s="106">
        <v>0.75</v>
      </c>
      <c r="J33" s="106">
        <v>0</v>
      </c>
      <c r="K33" s="106">
        <v>0</v>
      </c>
      <c r="L33" s="106">
        <v>90</v>
      </c>
      <c r="M33" s="107">
        <v>0.85</v>
      </c>
      <c r="N33" s="10"/>
      <c r="O33" s="10"/>
      <c r="P33" s="97"/>
      <c r="R33" s="36"/>
      <c r="S33" s="36"/>
      <c r="T33" s="60"/>
      <c r="U33" s="60"/>
      <c r="V33" s="60"/>
      <c r="W33" s="120"/>
      <c r="X33" s="60"/>
      <c r="Y33" s="60"/>
      <c r="Z33" s="60"/>
      <c r="AA33" s="60"/>
      <c r="AB33" s="60"/>
      <c r="AC33" s="60"/>
      <c r="AD33" s="60"/>
      <c r="AE33" s="60"/>
      <c r="AF33" s="60"/>
      <c r="AG33" s="60"/>
      <c r="AH33" s="60"/>
      <c r="AI33" s="75"/>
      <c r="AJ33" s="75"/>
      <c r="AK33" s="75"/>
    </row>
    <row r="34" spans="1:37" x14ac:dyDescent="0.2">
      <c r="A34" s="96"/>
      <c r="B34" s="62"/>
      <c r="C34" s="5"/>
      <c r="D34" s="5"/>
      <c r="E34" s="5"/>
      <c r="F34" s="5"/>
      <c r="G34" s="5"/>
      <c r="H34" s="5"/>
      <c r="I34" s="5"/>
      <c r="J34" s="5"/>
      <c r="K34" s="5"/>
      <c r="L34" s="5"/>
      <c r="M34" s="5"/>
      <c r="N34" s="5"/>
      <c r="O34" s="22"/>
      <c r="P34" s="98"/>
      <c r="Q34" s="8"/>
      <c r="R34" s="36"/>
      <c r="S34" s="36"/>
      <c r="T34" s="128"/>
      <c r="U34" s="128"/>
      <c r="V34" s="128"/>
      <c r="W34" s="128"/>
      <c r="X34" s="128"/>
      <c r="Y34" s="60"/>
      <c r="Z34" s="60"/>
      <c r="AA34" s="60"/>
      <c r="AB34" s="60"/>
      <c r="AC34" s="60"/>
      <c r="AD34" s="60"/>
      <c r="AE34" s="60"/>
      <c r="AF34" s="60"/>
      <c r="AG34" s="60"/>
      <c r="AH34" s="60"/>
      <c r="AI34" s="75"/>
      <c r="AJ34" s="75"/>
      <c r="AK34" s="75"/>
    </row>
    <row r="35" spans="1:37" ht="15" x14ac:dyDescent="0.2">
      <c r="A35" s="96"/>
      <c r="B35" s="187" t="s">
        <v>129</v>
      </c>
      <c r="C35" s="187"/>
      <c r="D35" s="187"/>
      <c r="E35" s="14">
        <v>4</v>
      </c>
      <c r="F35" s="5"/>
      <c r="G35" s="5"/>
      <c r="H35" s="186" t="s">
        <v>108</v>
      </c>
      <c r="I35" s="186"/>
      <c r="J35" s="186"/>
      <c r="K35" s="186"/>
      <c r="L35" s="186"/>
      <c r="M35" s="186"/>
      <c r="N35" s="5"/>
      <c r="O35" s="22"/>
      <c r="P35" s="98"/>
      <c r="Q35" s="8"/>
      <c r="R35" s="123"/>
      <c r="S35" s="123"/>
      <c r="T35" s="121"/>
      <c r="U35" s="121"/>
      <c r="V35" s="121"/>
      <c r="W35" s="121"/>
      <c r="X35" s="121"/>
      <c r="Y35" s="60"/>
      <c r="Z35" s="60"/>
      <c r="AA35" s="60"/>
      <c r="AB35" s="60"/>
      <c r="AC35" s="60"/>
      <c r="AD35" s="60"/>
      <c r="AE35" s="60"/>
      <c r="AF35" s="60"/>
      <c r="AG35" s="60"/>
      <c r="AH35" s="60"/>
      <c r="AI35" s="75"/>
      <c r="AJ35" s="75"/>
      <c r="AK35" s="75"/>
    </row>
    <row r="36" spans="1:37" ht="12.75" customHeight="1" x14ac:dyDescent="0.2">
      <c r="A36" s="96"/>
      <c r="B36" s="62"/>
      <c r="C36" s="5"/>
      <c r="D36" s="5"/>
      <c r="E36" s="5"/>
      <c r="F36" s="5"/>
      <c r="G36" s="5"/>
      <c r="H36" s="188" t="s">
        <v>137</v>
      </c>
      <c r="I36" s="188"/>
      <c r="J36" s="188"/>
      <c r="K36" s="188"/>
      <c r="L36" s="188"/>
      <c r="M36" s="188"/>
      <c r="N36" s="5"/>
      <c r="O36" s="22"/>
      <c r="P36" s="98"/>
      <c r="Q36" s="8"/>
      <c r="R36" s="123"/>
      <c r="S36" s="123"/>
      <c r="T36" s="121"/>
      <c r="U36" s="121"/>
      <c r="V36" s="121"/>
      <c r="W36" s="121"/>
      <c r="X36" s="121"/>
      <c r="Y36" s="60"/>
      <c r="Z36" s="60"/>
      <c r="AA36" s="60"/>
      <c r="AB36" s="60"/>
      <c r="AC36" s="60"/>
      <c r="AD36" s="60"/>
      <c r="AE36" s="60"/>
      <c r="AF36" s="60"/>
      <c r="AG36" s="60"/>
      <c r="AH36" s="60"/>
      <c r="AI36" s="75"/>
      <c r="AJ36" s="75"/>
      <c r="AK36" s="75"/>
    </row>
    <row r="37" spans="1:37" ht="15" x14ac:dyDescent="0.2">
      <c r="A37" s="96"/>
      <c r="B37" s="187" t="s">
        <v>98</v>
      </c>
      <c r="C37" s="187"/>
      <c r="D37" s="5"/>
      <c r="E37" s="44">
        <v>1.5</v>
      </c>
      <c r="F37" s="5"/>
      <c r="G37" s="5"/>
      <c r="H37" s="188"/>
      <c r="I37" s="188"/>
      <c r="J37" s="188"/>
      <c r="K37" s="188"/>
      <c r="L37" s="188"/>
      <c r="M37" s="188"/>
      <c r="N37" s="5"/>
      <c r="O37" s="22"/>
      <c r="P37" s="98"/>
      <c r="Q37" s="8"/>
      <c r="R37" s="123"/>
      <c r="S37" s="123"/>
      <c r="T37" s="121"/>
      <c r="U37" s="121"/>
      <c r="V37" s="121"/>
      <c r="W37" s="121"/>
      <c r="X37" s="121"/>
      <c r="Y37" s="60"/>
      <c r="Z37" s="60"/>
      <c r="AA37" s="60"/>
      <c r="AB37" s="60"/>
      <c r="AC37" s="60"/>
      <c r="AD37" s="60"/>
      <c r="AE37" s="60"/>
      <c r="AF37" s="60"/>
      <c r="AG37" s="60"/>
      <c r="AH37" s="60"/>
      <c r="AI37" s="75"/>
      <c r="AJ37" s="75"/>
      <c r="AK37" s="75"/>
    </row>
    <row r="38" spans="1:37" ht="15" x14ac:dyDescent="0.2">
      <c r="A38" s="96"/>
      <c r="B38" s="10"/>
      <c r="C38" s="5"/>
      <c r="D38" s="5"/>
      <c r="E38" s="5"/>
      <c r="F38" s="5"/>
      <c r="G38" s="5"/>
      <c r="H38" s="188"/>
      <c r="I38" s="188"/>
      <c r="J38" s="188"/>
      <c r="K38" s="188"/>
      <c r="L38" s="188"/>
      <c r="M38" s="188"/>
      <c r="N38" s="5"/>
      <c r="O38" s="22"/>
      <c r="P38" s="97"/>
      <c r="R38" s="123"/>
      <c r="S38" s="123"/>
      <c r="T38" s="121"/>
      <c r="U38" s="121"/>
      <c r="V38" s="121"/>
      <c r="W38" s="121"/>
      <c r="X38" s="121"/>
      <c r="Y38" s="60"/>
      <c r="Z38" s="60"/>
      <c r="AA38" s="60"/>
      <c r="AB38" s="60"/>
      <c r="AC38" s="60"/>
      <c r="AD38" s="60"/>
      <c r="AE38" s="60"/>
      <c r="AF38" s="60"/>
      <c r="AG38" s="60"/>
      <c r="AH38" s="60"/>
      <c r="AI38" s="75"/>
      <c r="AJ38" s="75"/>
      <c r="AK38" s="75"/>
    </row>
    <row r="39" spans="1:37" x14ac:dyDescent="0.2">
      <c r="A39" s="96"/>
      <c r="B39" s="10"/>
      <c r="C39" s="5"/>
      <c r="D39" s="5"/>
      <c r="E39" s="5"/>
      <c r="F39" s="5"/>
      <c r="G39" s="5"/>
      <c r="H39" s="59"/>
      <c r="I39" s="59"/>
      <c r="J39" s="59"/>
      <c r="K39" s="59"/>
      <c r="L39" s="59"/>
      <c r="M39" s="59"/>
      <c r="N39" s="5"/>
      <c r="O39" s="22"/>
      <c r="P39" s="97"/>
      <c r="R39" s="75"/>
      <c r="S39" s="75"/>
      <c r="T39" s="60"/>
      <c r="U39" s="60"/>
      <c r="V39" s="60"/>
      <c r="W39" s="60"/>
      <c r="X39" s="60"/>
      <c r="Y39" s="60"/>
      <c r="Z39" s="60"/>
      <c r="AA39" s="60"/>
      <c r="AB39" s="60"/>
      <c r="AC39" s="60"/>
      <c r="AD39" s="60"/>
      <c r="AE39" s="60"/>
      <c r="AF39" s="60"/>
      <c r="AG39" s="60"/>
      <c r="AH39" s="60"/>
      <c r="AI39" s="75"/>
      <c r="AJ39" s="75"/>
      <c r="AK39" s="75"/>
    </row>
    <row r="40" spans="1:37" ht="15.75" x14ac:dyDescent="0.25">
      <c r="A40" s="96"/>
      <c r="B40" s="142" t="s">
        <v>104</v>
      </c>
      <c r="C40" s="142"/>
      <c r="D40" s="142"/>
      <c r="E40" s="142"/>
      <c r="F40" s="5"/>
      <c r="G40" s="5"/>
      <c r="H40" s="108"/>
      <c r="I40" s="108"/>
      <c r="J40" s="108"/>
      <c r="K40" s="108"/>
      <c r="L40" s="108"/>
      <c r="M40" s="5"/>
      <c r="N40" s="5"/>
      <c r="O40" s="22"/>
      <c r="P40" s="97"/>
      <c r="R40" s="75"/>
      <c r="S40" s="75"/>
      <c r="T40" s="60"/>
      <c r="U40" s="60"/>
      <c r="V40" s="60"/>
      <c r="W40" s="60"/>
      <c r="X40" s="60"/>
      <c r="Y40" s="60"/>
      <c r="Z40" s="60"/>
      <c r="AA40" s="60"/>
      <c r="AB40" s="60"/>
      <c r="AC40" s="60"/>
      <c r="AD40" s="60"/>
      <c r="AE40" s="60"/>
      <c r="AF40" s="60"/>
      <c r="AG40" s="60"/>
      <c r="AH40" s="60"/>
      <c r="AI40" s="75"/>
      <c r="AJ40" s="75"/>
      <c r="AK40" s="75"/>
    </row>
    <row r="41" spans="1:37" ht="15.75" x14ac:dyDescent="0.25">
      <c r="A41" s="96"/>
      <c r="B41" s="9"/>
      <c r="C41" s="9"/>
      <c r="D41" s="9"/>
      <c r="E41" s="9"/>
      <c r="F41" s="5"/>
      <c r="G41" s="5"/>
      <c r="H41" s="108"/>
      <c r="I41" s="108"/>
      <c r="J41" s="108"/>
      <c r="K41" s="108"/>
      <c r="L41" s="108"/>
      <c r="M41" s="5"/>
      <c r="N41" s="5"/>
      <c r="O41" s="22"/>
      <c r="P41" s="97"/>
      <c r="R41" s="75"/>
      <c r="S41" s="75"/>
      <c r="T41" s="60"/>
      <c r="U41" s="60"/>
      <c r="V41" s="60"/>
      <c r="W41" s="60"/>
      <c r="X41" s="60"/>
      <c r="Y41" s="60"/>
      <c r="Z41" s="60"/>
      <c r="AA41" s="60"/>
      <c r="AB41" s="60"/>
      <c r="AC41" s="60"/>
      <c r="AD41" s="60"/>
      <c r="AE41" s="60"/>
      <c r="AF41" s="60"/>
      <c r="AG41" s="60"/>
      <c r="AH41" s="60"/>
      <c r="AI41" s="75"/>
      <c r="AJ41" s="75"/>
      <c r="AK41" s="75"/>
    </row>
    <row r="42" spans="1:37" ht="15" customHeight="1" x14ac:dyDescent="0.2">
      <c r="A42" s="96"/>
      <c r="B42" s="183" t="s">
        <v>126</v>
      </c>
      <c r="C42" s="183"/>
      <c r="D42" s="183"/>
      <c r="E42" s="183"/>
      <c r="F42" s="183"/>
      <c r="G42" s="183"/>
      <c r="H42" s="183"/>
      <c r="I42" s="5"/>
      <c r="J42" s="183" t="s">
        <v>127</v>
      </c>
      <c r="K42" s="183"/>
      <c r="L42" s="183"/>
      <c r="M42" s="183"/>
      <c r="N42" s="183"/>
      <c r="O42" s="183"/>
      <c r="P42" s="184"/>
      <c r="R42" s="75"/>
      <c r="S42" s="75"/>
      <c r="T42" s="60"/>
      <c r="U42" s="60"/>
      <c r="V42" s="60"/>
      <c r="W42" s="60"/>
      <c r="X42" s="60"/>
      <c r="Y42" s="60"/>
      <c r="Z42" s="60"/>
      <c r="AA42" s="60"/>
      <c r="AB42" s="60"/>
      <c r="AC42" s="60"/>
      <c r="AD42" s="60"/>
      <c r="AE42" s="60"/>
      <c r="AF42" s="60"/>
      <c r="AG42" s="60"/>
      <c r="AH42" s="60"/>
      <c r="AI42" s="75"/>
      <c r="AJ42" s="75"/>
      <c r="AK42" s="75"/>
    </row>
    <row r="43" spans="1:37" ht="32.25" customHeight="1" x14ac:dyDescent="0.2">
      <c r="A43" s="96"/>
      <c r="B43" s="189" t="s">
        <v>8</v>
      </c>
      <c r="C43" s="189"/>
      <c r="D43" s="190" t="s">
        <v>103</v>
      </c>
      <c r="E43" s="190"/>
      <c r="F43" s="190"/>
      <c r="G43" s="190"/>
      <c r="H43" s="190"/>
      <c r="I43" s="5"/>
      <c r="J43" s="189" t="s">
        <v>8</v>
      </c>
      <c r="K43" s="189"/>
      <c r="L43" s="190" t="s">
        <v>103</v>
      </c>
      <c r="M43" s="190"/>
      <c r="N43" s="190"/>
      <c r="O43" s="190"/>
      <c r="P43" s="191"/>
      <c r="Q43" s="64"/>
      <c r="R43" s="75"/>
      <c r="S43" s="75"/>
      <c r="T43" s="60"/>
      <c r="U43" s="60"/>
      <c r="V43" s="60"/>
      <c r="W43" s="60"/>
      <c r="X43" s="60"/>
      <c r="Y43" s="60"/>
      <c r="Z43" s="60"/>
      <c r="AA43" s="60"/>
      <c r="AB43" s="60"/>
      <c r="AC43" s="60"/>
      <c r="AD43" s="60"/>
      <c r="AE43" s="60"/>
      <c r="AF43" s="60"/>
      <c r="AG43" s="60"/>
      <c r="AH43" s="60"/>
      <c r="AI43" s="75"/>
      <c r="AJ43" s="75"/>
      <c r="AK43" s="75"/>
    </row>
    <row r="44" spans="1:37" ht="18" customHeight="1" x14ac:dyDescent="0.2">
      <c r="A44" s="96"/>
      <c r="B44" s="182" t="s">
        <v>132</v>
      </c>
      <c r="C44" s="182"/>
      <c r="D44" s="31" t="s">
        <v>2</v>
      </c>
      <c r="E44" s="31" t="s">
        <v>0</v>
      </c>
      <c r="F44" s="31" t="s">
        <v>4</v>
      </c>
      <c r="G44" s="31" t="s">
        <v>3</v>
      </c>
      <c r="H44" s="31" t="s">
        <v>1</v>
      </c>
      <c r="I44" s="5"/>
      <c r="J44" s="182" t="s">
        <v>132</v>
      </c>
      <c r="K44" s="182"/>
      <c r="L44" s="31" t="s">
        <v>2</v>
      </c>
      <c r="M44" s="31" t="s">
        <v>0</v>
      </c>
      <c r="N44" s="31" t="s">
        <v>4</v>
      </c>
      <c r="O44" s="31" t="s">
        <v>3</v>
      </c>
      <c r="P44" s="109" t="s">
        <v>1</v>
      </c>
      <c r="Q44" s="14"/>
      <c r="R44" s="75"/>
      <c r="S44" s="75"/>
      <c r="T44" s="60"/>
      <c r="U44" s="60"/>
      <c r="V44" s="60"/>
      <c r="W44" s="60"/>
      <c r="X44" s="60"/>
      <c r="Y44" s="60"/>
      <c r="Z44" s="60"/>
      <c r="AA44" s="60"/>
      <c r="AB44" s="60"/>
      <c r="AC44" s="60"/>
      <c r="AD44" s="60"/>
      <c r="AE44" s="60"/>
      <c r="AF44" s="60"/>
      <c r="AG44" s="60"/>
      <c r="AH44" s="60"/>
      <c r="AI44" s="75"/>
      <c r="AJ44" s="75"/>
      <c r="AK44" s="75"/>
    </row>
    <row r="45" spans="1:37" ht="14.25" customHeight="1" x14ac:dyDescent="0.2">
      <c r="A45" s="96"/>
      <c r="B45" s="182" t="s">
        <v>133</v>
      </c>
      <c r="C45" s="182"/>
      <c r="D45" s="147"/>
      <c r="E45" s="155"/>
      <c r="F45" s="155"/>
      <c r="G45" s="155"/>
      <c r="H45" s="148"/>
      <c r="I45" s="5"/>
      <c r="J45" s="182" t="s">
        <v>133</v>
      </c>
      <c r="K45" s="182"/>
      <c r="L45" s="147"/>
      <c r="M45" s="155"/>
      <c r="N45" s="155"/>
      <c r="O45" s="155"/>
      <c r="P45" s="181"/>
      <c r="Q45" s="33"/>
      <c r="R45" s="75"/>
      <c r="S45" s="75"/>
      <c r="T45" s="60"/>
      <c r="U45" s="60"/>
      <c r="V45" s="60"/>
      <c r="W45" s="60"/>
      <c r="X45" s="60"/>
      <c r="Y45" s="60"/>
      <c r="Z45" s="60"/>
      <c r="AA45" s="60"/>
      <c r="AB45" s="60"/>
      <c r="AC45" s="60"/>
      <c r="AD45" s="60"/>
      <c r="AE45" s="60"/>
      <c r="AF45" s="60"/>
      <c r="AG45" s="60"/>
      <c r="AH45" s="60"/>
      <c r="AI45" s="75"/>
      <c r="AJ45" s="75"/>
      <c r="AK45" s="75"/>
    </row>
    <row r="46" spans="1:37" ht="13.5" customHeight="1" x14ac:dyDescent="0.2">
      <c r="A46" s="96">
        <v>90</v>
      </c>
      <c r="B46" s="182" t="s">
        <v>10</v>
      </c>
      <c r="C46" s="182"/>
      <c r="D46" s="52">
        <f>(E37*E29*C167*TAN(RADIANS(A46/2)))/(C128+0.5*C131)</f>
        <v>9.2853243720404777</v>
      </c>
      <c r="E46" s="52">
        <f>(E37*E29*D167*TAN(RADIANS(A46/2)))/(D128+0.5*D131)</f>
        <v>12.104170378882332</v>
      </c>
      <c r="F46" s="52">
        <f>(E37*E29*E167*TAN(RADIANS(A46/2)))/(E128+0.5*E131)</f>
        <v>14.372141594744994</v>
      </c>
      <c r="G46" s="52">
        <f>(E37*E29*F167*TAN(RADIANS(A46/2)))/(F128+0.5*F131)</f>
        <v>16.813946803372936</v>
      </c>
      <c r="H46" s="52">
        <f>(E37*E29*G167*TAN(RADIANS(A46/2)))/(G128+0.5*G131)</f>
        <v>21.251277256026214</v>
      </c>
      <c r="I46" s="5"/>
      <c r="J46" s="182" t="s">
        <v>10</v>
      </c>
      <c r="K46" s="182"/>
      <c r="L46" s="52">
        <f>(E37*E29*C167*TAN(RADIANS(A46/2)))/(C129+0.5*C131)</f>
        <v>10.53121738924143</v>
      </c>
      <c r="M46" s="52">
        <f>(E37*E29*D167*TAN(RADIANS(A46/2)))/(D129+0.5*D131)</f>
        <v>13.719510304463952</v>
      </c>
      <c r="N46" s="52">
        <f>(E37*E29*E167*TAN(RADIANS(A46/2)))/(E129+0.5*E131)</f>
        <v>16.272904957956165</v>
      </c>
      <c r="O46" s="52">
        <f>(E37*E29*F167*TAN(RADIANS(A46/2)))/(F129+0.5*F131)</f>
        <v>19.029245640858868</v>
      </c>
      <c r="P46" s="110">
        <f>(E37*E29*G167*TAN(RADIANS(A46/2)))/(G129+0.5*G131)</f>
        <v>24.020715832377405</v>
      </c>
      <c r="Q46" s="65"/>
      <c r="R46" s="75"/>
      <c r="S46" s="75"/>
      <c r="T46" s="60"/>
      <c r="U46" s="60"/>
      <c r="V46" s="60"/>
      <c r="W46" s="60"/>
      <c r="X46" s="60"/>
      <c r="Y46" s="60"/>
      <c r="Z46" s="60"/>
      <c r="AA46" s="60"/>
      <c r="AB46" s="60"/>
      <c r="AC46" s="60"/>
      <c r="AD46" s="60"/>
      <c r="AE46" s="60"/>
      <c r="AF46" s="60"/>
      <c r="AG46" s="60"/>
      <c r="AH46" s="60"/>
      <c r="AI46" s="75"/>
      <c r="AJ46" s="75"/>
      <c r="AK46" s="75"/>
    </row>
    <row r="47" spans="1:37" x14ac:dyDescent="0.2">
      <c r="A47" s="96">
        <v>45</v>
      </c>
      <c r="B47" s="182" t="s">
        <v>11</v>
      </c>
      <c r="C47" s="182"/>
      <c r="D47" s="52">
        <f>(E37*E29*C167*TAN(RADIANS(A47/2)))/(C128+0.5*C131)</f>
        <v>3.8461072859326082</v>
      </c>
      <c r="E47" s="52">
        <f>(E37*E29*D167*TAN(RADIANS(A47/2)))/(D128+0.5*D131)</f>
        <v>5.013711532207747</v>
      </c>
      <c r="F47" s="52">
        <f>(E37*E29*E167*TAN(RADIANS(A47/2)))/(E128+0.5*E131)</f>
        <v>5.9531359688898604</v>
      </c>
      <c r="G47" s="52">
        <f>(E37*E29*F167*TAN(RADIANS(A47/2)))/(F128+0.5*F131)</f>
        <v>6.9645648029768177</v>
      </c>
      <c r="H47" s="52">
        <f>(E37*E29*G167*TAN(RADIANS(A47/2)))/(G128+0.5*G131)</f>
        <v>8.8025672571969498</v>
      </c>
      <c r="I47" s="5"/>
      <c r="J47" s="182" t="s">
        <v>11</v>
      </c>
      <c r="K47" s="182"/>
      <c r="L47" s="52">
        <f>(E37*E29*C167*TAN(RADIANS(A47/2)))/(C129+0.5*C131)</f>
        <v>4.3621730709231787</v>
      </c>
      <c r="M47" s="52">
        <f>(E37*E29*D167*TAN(RADIANS(A47/2)))/(D129+0.5*D131)</f>
        <v>5.6828072372264007</v>
      </c>
      <c r="N47" s="52">
        <f>(E37*E29*E167*TAN(RADIANS(A47/2)))/(E129+0.5*E131)</f>
        <v>6.7404579327938254</v>
      </c>
      <c r="O47" s="52">
        <f>(E37*E29*F167*TAN(RADIANS(A47/2)))/(F129+0.5*F131)</f>
        <v>7.8821716261728421</v>
      </c>
      <c r="P47" s="110">
        <f>(E37*E29*G167*TAN(RADIANS(A47/2)))/(G129+0.5*G131)</f>
        <v>9.9497062756808514</v>
      </c>
      <c r="Q47" s="65"/>
      <c r="R47" s="75"/>
      <c r="S47" s="75"/>
      <c r="T47" s="60"/>
      <c r="U47" s="60"/>
      <c r="V47" s="60"/>
      <c r="W47" s="60"/>
      <c r="X47" s="60"/>
      <c r="Y47" s="60"/>
      <c r="Z47" s="60"/>
      <c r="AA47" s="60"/>
      <c r="AB47" s="60"/>
      <c r="AC47" s="60"/>
      <c r="AD47" s="60"/>
      <c r="AE47" s="60"/>
      <c r="AF47" s="60"/>
      <c r="AG47" s="60"/>
      <c r="AH47" s="60"/>
      <c r="AI47" s="75"/>
      <c r="AJ47" s="75"/>
      <c r="AK47" s="75"/>
    </row>
    <row r="48" spans="1:37" x14ac:dyDescent="0.2">
      <c r="A48" s="96">
        <v>22.5</v>
      </c>
      <c r="B48" s="182" t="s">
        <v>99</v>
      </c>
      <c r="C48" s="182"/>
      <c r="D48" s="52">
        <f>(E37*E29*C167*TAN(RADIANS(A48/2)))/(C128+0.5*C131)</f>
        <v>1.8469658527306079</v>
      </c>
      <c r="E48" s="52">
        <f>(E37*E29*D167*TAN(RADIANS(A48/2)))/(D128+0.5*D131)</f>
        <v>2.4076691852302172</v>
      </c>
      <c r="F48" s="52">
        <f>(E37*E29*E167*TAN(RADIANS(A48/2)))/(E128+0.5*E131)</f>
        <v>2.858796708926381</v>
      </c>
      <c r="G48" s="52">
        <f>(E37*E29*F167*TAN(RADIANS(A48/2)))/(F128+0.5*F131)</f>
        <v>3.3445019636545439</v>
      </c>
      <c r="H48" s="52">
        <f>(E37*E29*G167*TAN(RADIANS(A48/2)))/(G128+0.5*G131)</f>
        <v>4.2271418688376574</v>
      </c>
      <c r="I48" s="5"/>
      <c r="J48" s="182" t="s">
        <v>99</v>
      </c>
      <c r="K48" s="182"/>
      <c r="L48" s="52">
        <f>(E37*E29*C167*TAN(RADIANS(A48/2)))/(C129+0.5*C131)</f>
        <v>2.0947893822838344</v>
      </c>
      <c r="M48" s="52">
        <f>(E37*E29*D167*TAN(RADIANS(A48/2)))/(D129+0.5*D131)</f>
        <v>2.7289802739505382</v>
      </c>
      <c r="N48" s="52">
        <f>(E37*E29*E167*TAN(RADIANS(A48/2)))/(E129+0.5*E131)</f>
        <v>3.236882049331236</v>
      </c>
      <c r="O48" s="52">
        <f>(E37*E29*F167*TAN(RADIANS(A48/2)))/(F129+0.5*F131)</f>
        <v>3.7851522998722751</v>
      </c>
      <c r="P48" s="110">
        <f>(E37*E29*G167*TAN(RADIANS(A48/2)))/(G129+0.5*G131)</f>
        <v>4.7780174523722234</v>
      </c>
      <c r="Q48" s="65"/>
      <c r="R48" s="75"/>
      <c r="S48" s="75"/>
      <c r="T48" s="60"/>
      <c r="U48" s="60"/>
      <c r="V48" s="60"/>
      <c r="W48" s="60"/>
      <c r="X48" s="60"/>
      <c r="Y48" s="60"/>
      <c r="Z48" s="60"/>
      <c r="AA48" s="60"/>
      <c r="AB48" s="60"/>
      <c r="AC48" s="60"/>
      <c r="AD48" s="60"/>
      <c r="AE48" s="60"/>
      <c r="AF48" s="60"/>
      <c r="AG48" s="60"/>
      <c r="AH48" s="60"/>
      <c r="AI48" s="75"/>
      <c r="AJ48" s="75"/>
      <c r="AK48" s="75"/>
    </row>
    <row r="49" spans="1:37" x14ac:dyDescent="0.2">
      <c r="A49" s="96">
        <v>11.25</v>
      </c>
      <c r="B49" s="182" t="s">
        <v>100</v>
      </c>
      <c r="C49" s="182"/>
      <c r="D49" s="52">
        <f>(E37*E29*C167*TAN(RADIANS(A49/2)))/(C128+0.5*C131)</f>
        <v>0.91452462802874668</v>
      </c>
      <c r="E49" s="52">
        <f>(E37*E29*D167*TAN(RADIANS(A49/2)))/(D128+0.5*D131)</f>
        <v>1.1921567270903395</v>
      </c>
      <c r="F49" s="52">
        <f>(E37*E29*E167*TAN(RADIANS(A49/2)))/(E128+0.5*E131)</f>
        <v>1.4155323949143075</v>
      </c>
      <c r="G49" s="52">
        <f>(E37*E29*F167*TAN(RADIANS(A49/2)))/(F128+0.5*F131)</f>
        <v>1.6560292166369062</v>
      </c>
      <c r="H49" s="52">
        <f>(E37*E29*G167*TAN(RADIANS(A49/2)))/(G128+0.5*G131)</f>
        <v>2.0930681200782089</v>
      </c>
      <c r="I49" s="5"/>
      <c r="J49" s="182" t="s">
        <v>100</v>
      </c>
      <c r="K49" s="182"/>
      <c r="L49" s="52">
        <f>(E37*E29*C167*TAN(RADIANS(A49/2)))/(C129+0.5*C131)</f>
        <v>1.0372343797257602</v>
      </c>
      <c r="M49" s="52">
        <f>(E37*E29*D167*TAN(RADIANS(A49/2)))/(D129+0.5*D131)</f>
        <v>1.3512538232597306</v>
      </c>
      <c r="N49" s="52">
        <f>(E37*E29*E167*TAN(RADIANS(A49/2)))/(E129+0.5*E131)</f>
        <v>1.6027412460068591</v>
      </c>
      <c r="O49" s="52">
        <f>(E37*E29*F167*TAN(RADIANS(A49/2)))/(F129+0.5*F131)</f>
        <v>1.8742171079963903</v>
      </c>
      <c r="P49" s="110">
        <f>(E37*E29*G167*TAN(RADIANS(A49/2)))/(G129+0.5*G131)</f>
        <v>2.3658340119745049</v>
      </c>
      <c r="Q49" s="65"/>
      <c r="R49" s="75"/>
      <c r="S49" s="75"/>
      <c r="T49" s="60"/>
      <c r="U49" s="60"/>
      <c r="V49" s="60"/>
      <c r="W49" s="60"/>
      <c r="X49" s="60"/>
      <c r="Y49" s="60"/>
      <c r="Z49" s="60"/>
      <c r="AA49" s="60"/>
      <c r="AB49" s="60"/>
      <c r="AC49" s="60"/>
      <c r="AD49" s="60"/>
      <c r="AE49" s="60"/>
      <c r="AF49" s="60"/>
      <c r="AG49" s="60"/>
      <c r="AH49" s="60"/>
      <c r="AI49" s="75"/>
      <c r="AJ49" s="75"/>
      <c r="AK49" s="75"/>
    </row>
    <row r="50" spans="1:37" x14ac:dyDescent="0.2">
      <c r="A50" s="96"/>
      <c r="B50" s="143"/>
      <c r="C50" s="156"/>
      <c r="D50" s="156"/>
      <c r="E50" s="156"/>
      <c r="F50" s="156"/>
      <c r="G50" s="156"/>
      <c r="H50" s="144"/>
      <c r="I50" s="5"/>
      <c r="J50" s="143"/>
      <c r="K50" s="156"/>
      <c r="L50" s="156"/>
      <c r="M50" s="156"/>
      <c r="N50" s="156"/>
      <c r="O50" s="156"/>
      <c r="P50" s="208"/>
      <c r="Q50" s="14"/>
      <c r="R50" s="75"/>
      <c r="S50" s="75"/>
      <c r="T50" s="60"/>
      <c r="U50" s="60"/>
      <c r="V50" s="60"/>
      <c r="W50" s="60"/>
      <c r="X50" s="60"/>
      <c r="Y50" s="60"/>
      <c r="Z50" s="60"/>
      <c r="AA50" s="60"/>
      <c r="AB50" s="60"/>
      <c r="AC50" s="60"/>
      <c r="AD50" s="60"/>
      <c r="AE50" s="60"/>
      <c r="AF50" s="60"/>
      <c r="AG50" s="60"/>
      <c r="AH50" s="60"/>
      <c r="AI50" s="75"/>
      <c r="AJ50" s="75"/>
      <c r="AK50" s="75"/>
    </row>
    <row r="51" spans="1:37" x14ac:dyDescent="0.2">
      <c r="A51" s="96"/>
      <c r="B51" s="182" t="s">
        <v>60</v>
      </c>
      <c r="C51" s="182"/>
      <c r="D51" s="147"/>
      <c r="E51" s="155"/>
      <c r="F51" s="155"/>
      <c r="G51" s="155"/>
      <c r="H51" s="148"/>
      <c r="I51" s="5"/>
      <c r="J51" s="182" t="s">
        <v>60</v>
      </c>
      <c r="K51" s="182"/>
      <c r="L51" s="147"/>
      <c r="M51" s="155"/>
      <c r="N51" s="155"/>
      <c r="O51" s="155"/>
      <c r="P51" s="181"/>
      <c r="Q51" s="33"/>
      <c r="R51" s="122"/>
      <c r="S51" s="60"/>
      <c r="T51" s="60"/>
      <c r="U51" s="60"/>
      <c r="V51" s="60"/>
      <c r="W51" s="60"/>
      <c r="X51" s="60"/>
      <c r="Y51" s="60"/>
      <c r="Z51" s="60"/>
      <c r="AA51" s="60"/>
      <c r="AB51" s="60"/>
      <c r="AC51" s="60"/>
      <c r="AD51" s="60"/>
      <c r="AE51" s="60"/>
      <c r="AF51" s="60"/>
      <c r="AG51" s="60"/>
      <c r="AH51" s="60"/>
      <c r="AI51" s="75"/>
      <c r="AJ51" s="75"/>
      <c r="AK51" s="75"/>
    </row>
    <row r="52" spans="1:37" x14ac:dyDescent="0.2">
      <c r="A52" s="96">
        <v>90</v>
      </c>
      <c r="B52" s="182" t="s">
        <v>10</v>
      </c>
      <c r="C52" s="182"/>
      <c r="D52" s="52">
        <f>(E37*E29*C167*TAN(RADIANS(A52/2)))/C134</f>
        <v>23.545946917160016</v>
      </c>
      <c r="E52" s="52">
        <f>(E37*E29*D167*TAN(RADIANS(A52/2)))/D134</f>
        <v>30.841178555084102</v>
      </c>
      <c r="F52" s="52">
        <f>(E37*E29*E167*TAN(RADIANS(A52/2)))/E134</f>
        <v>36.913036952447364</v>
      </c>
      <c r="G52" s="52">
        <f>(E37*E29*F167*TAN(RADIANS(A52/2)))/F134</f>
        <v>43.329150699617415</v>
      </c>
      <c r="H52" s="52">
        <f>(E37*E29*G167*TAN(RADIANS(A52/2)))/G134</f>
        <v>55.296863747160188</v>
      </c>
      <c r="I52" s="5"/>
      <c r="J52" s="182" t="s">
        <v>10</v>
      </c>
      <c r="K52" s="182"/>
      <c r="L52" s="52">
        <f>(E37*E29*C167*TAN(RADIANS(A52/2)))/C135</f>
        <v>33.637067024514309</v>
      </c>
      <c r="M52" s="52">
        <f>(E37*E29*D167*TAN(RADIANS(A52/2)))/D135</f>
        <v>44.058826507263007</v>
      </c>
      <c r="N52" s="52">
        <f>(E37*E29*E167*TAN(RADIANS(A52/2)))/E135</f>
        <v>52.73290993206767</v>
      </c>
      <c r="O52" s="52">
        <f>(E37*E29*F167*TAN(RADIANS(A52/2)))/F135</f>
        <v>61.898786713739163</v>
      </c>
      <c r="P52" s="110">
        <f>(E37*E29*G167*TAN(RADIANS(A52/2)))/G135</f>
        <v>78.995519638800289</v>
      </c>
      <c r="Q52" s="65"/>
      <c r="R52" s="122"/>
      <c r="S52" s="60"/>
      <c r="T52" s="60"/>
      <c r="U52" s="60"/>
      <c r="V52" s="60"/>
      <c r="W52" s="60"/>
      <c r="X52" s="60"/>
      <c r="Y52" s="60"/>
      <c r="Z52" s="60"/>
      <c r="AA52" s="60"/>
      <c r="AB52" s="60"/>
      <c r="AC52" s="60"/>
      <c r="AD52" s="60"/>
      <c r="AE52" s="60"/>
      <c r="AF52" s="60"/>
      <c r="AG52" s="60"/>
      <c r="AH52" s="60"/>
      <c r="AI52" s="75"/>
      <c r="AJ52" s="75"/>
      <c r="AK52" s="75"/>
    </row>
    <row r="53" spans="1:37" x14ac:dyDescent="0.2">
      <c r="A53" s="96">
        <v>45</v>
      </c>
      <c r="B53" s="182" t="s">
        <v>11</v>
      </c>
      <c r="C53" s="182"/>
      <c r="D53" s="52">
        <f>(E37*E29*C167*TAN(RADIANS(A53/2)))/C134</f>
        <v>9.7530505520046464</v>
      </c>
      <c r="E53" s="52">
        <f>(E37*E29*D167*TAN(RADIANS(A53/2)))/D134</f>
        <v>12.774834437086092</v>
      </c>
      <c r="F53" s="52">
        <f>(E37*E29*E167*TAN(RADIANS(A53/2)))/E134</f>
        <v>15.289880534082922</v>
      </c>
      <c r="G53" s="52">
        <f>(E37*E29*F167*TAN(RADIANS(A53/2)))/F134</f>
        <v>17.947521865889215</v>
      </c>
      <c r="H53" s="52">
        <f>(E37*E29*G167*TAN(RADIANS(A53/2)))/G134</f>
        <v>22.904710920770878</v>
      </c>
      <c r="I53" s="5"/>
      <c r="J53" s="182" t="s">
        <v>11</v>
      </c>
      <c r="K53" s="182"/>
      <c r="L53" s="52">
        <f>(E37*E29*C167*TAN(RADIANS(A53/2)))/C135</f>
        <v>13.932929360006638</v>
      </c>
      <c r="M53" s="52">
        <f>(E37*E29*D167*TAN(RADIANS(A53/2)))/D135</f>
        <v>18.249763481551561</v>
      </c>
      <c r="N53" s="52">
        <f>(E37*E29*E167*TAN(RADIANS(A53/2)))/E135</f>
        <v>21.842686477261321</v>
      </c>
      <c r="O53" s="52">
        <f>(E37*E29*F167*TAN(RADIANS(A53/2)))/F135</f>
        <v>25.639316951270306</v>
      </c>
      <c r="P53" s="110">
        <f>(E37*E29*G167*TAN(RADIANS(A53/2)))/G135</f>
        <v>32.721015601101257</v>
      </c>
      <c r="Q53" s="65"/>
      <c r="R53" s="75"/>
      <c r="S53" s="75"/>
      <c r="T53" s="60"/>
      <c r="U53" s="60"/>
      <c r="V53" s="60"/>
      <c r="W53" s="60"/>
      <c r="X53" s="60"/>
      <c r="Y53" s="60"/>
      <c r="Z53" s="60"/>
      <c r="AA53" s="60"/>
      <c r="AB53" s="60"/>
      <c r="AC53" s="60"/>
      <c r="AD53" s="60"/>
      <c r="AE53" s="60"/>
      <c r="AF53" s="60"/>
      <c r="AG53" s="60"/>
      <c r="AH53" s="60"/>
      <c r="AI53" s="75"/>
      <c r="AJ53" s="75"/>
      <c r="AK53" s="75"/>
    </row>
    <row r="54" spans="1:37" x14ac:dyDescent="0.2">
      <c r="A54" s="96">
        <v>22.5</v>
      </c>
      <c r="B54" s="182" t="s">
        <v>99</v>
      </c>
      <c r="C54" s="182"/>
      <c r="D54" s="52">
        <f>(E37*E29*C167*TAN(RADIANS(A54/2)))/C134</f>
        <v>4.6835800434880595</v>
      </c>
      <c r="E54" s="52">
        <f>(E37*E29*D167*TAN(RADIANS(A54/2)))/D134</f>
        <v>6.1346918391705207</v>
      </c>
      <c r="F54" s="52">
        <f>(E37*E29*E167*TAN(RADIANS(A54/2)))/E134</f>
        <v>7.3424595673841031</v>
      </c>
      <c r="G54" s="52">
        <f>(E37*E29*F167*TAN(RADIANS(A54/2)))/F134</f>
        <v>8.6187039422108658</v>
      </c>
      <c r="H54" s="52">
        <f>(E37*E29*G167*TAN(RADIANS(A54/2)))/G134</f>
        <v>10.999230076618021</v>
      </c>
      <c r="I54" s="5"/>
      <c r="J54" s="182" t="s">
        <v>99</v>
      </c>
      <c r="K54" s="182"/>
      <c r="L54" s="52">
        <f>(E37*E29*C167*TAN(RADIANS(A54/2)))/C135</f>
        <v>6.6908286335543714</v>
      </c>
      <c r="M54" s="52">
        <f>(E37*E29*D167*TAN(RADIANS(A54/2)))/D135</f>
        <v>8.7638454845293161</v>
      </c>
      <c r="N54" s="52">
        <f>(E37*E29*E167*TAN(RADIANS(A54/2)))/E135</f>
        <v>10.489227953405864</v>
      </c>
      <c r="O54" s="52">
        <f>(E37*E29*F167*TAN(RADIANS(A54/2)))/F135</f>
        <v>12.31243420315838</v>
      </c>
      <c r="P54" s="110">
        <f>(E37*E29*G167*TAN(RADIANS(A54/2)))/G135</f>
        <v>15.713185823740034</v>
      </c>
      <c r="Q54" s="65"/>
      <c r="R54" s="75"/>
      <c r="S54" s="75"/>
      <c r="T54" s="120"/>
      <c r="U54" s="60"/>
      <c r="V54" s="60"/>
      <c r="W54" s="60"/>
      <c r="X54" s="60"/>
      <c r="Y54" s="60"/>
      <c r="Z54" s="60"/>
      <c r="AA54" s="60"/>
      <c r="AB54" s="60"/>
      <c r="AC54" s="60"/>
      <c r="AD54" s="60"/>
      <c r="AE54" s="60"/>
      <c r="AF54" s="60"/>
      <c r="AG54" s="60"/>
      <c r="AH54" s="60"/>
      <c r="AI54" s="75"/>
      <c r="AJ54" s="75"/>
      <c r="AK54" s="75"/>
    </row>
    <row r="55" spans="1:37" x14ac:dyDescent="0.2">
      <c r="A55" s="96">
        <v>11.25</v>
      </c>
      <c r="B55" s="182" t="s">
        <v>100</v>
      </c>
      <c r="C55" s="182"/>
      <c r="D55" s="52">
        <f>(E37*E29*C167*TAN(RADIANS(A55/2)))/C134</f>
        <v>2.3190733552443858</v>
      </c>
      <c r="E55" s="52">
        <f>(E37*E29*D167*TAN(RADIANS(A55/2)))/D134</f>
        <v>3.0375909570791126</v>
      </c>
      <c r="F55" s="52">
        <f>(E37*E29*E167*TAN(RADIANS(A55/2)))/E134</f>
        <v>3.6356168116214032</v>
      </c>
      <c r="G55" s="52">
        <f>(E37*E29*F167*TAN(RADIANS(A55/2)))/F134</f>
        <v>4.2675488586793744</v>
      </c>
      <c r="H55" s="52">
        <f>(E37*E29*G167*TAN(RADIANS(A55/2)))/G134</f>
        <v>5.4462657117077082</v>
      </c>
      <c r="I55" s="5"/>
      <c r="J55" s="182" t="s">
        <v>100</v>
      </c>
      <c r="K55" s="182"/>
      <c r="L55" s="52">
        <f>(E37*E29*C167*TAN(RADIANS(A55/2)))/C135</f>
        <v>3.3129619360634082</v>
      </c>
      <c r="M55" s="52">
        <f>(E37*E29*D167*TAN(RADIANS(A55/2)))/D135</f>
        <v>4.3394156529701613</v>
      </c>
      <c r="N55" s="52">
        <f>(E37*E29*E167*TAN(RADIANS(A55/2)))/E135</f>
        <v>5.1937383023162909</v>
      </c>
      <c r="O55" s="52">
        <f>(E37*E29*F167*TAN(RADIANS(A55/2)))/F135</f>
        <v>6.0964983695419637</v>
      </c>
      <c r="P55" s="110">
        <f>(E37*E29*G167*TAN(RADIANS(A55/2)))/G135</f>
        <v>7.7803795881538704</v>
      </c>
      <c r="Q55" s="65"/>
      <c r="R55" s="75"/>
      <c r="S55" s="75"/>
      <c r="T55" s="60"/>
      <c r="U55" s="60"/>
      <c r="V55" s="60"/>
      <c r="W55" s="60"/>
      <c r="X55" s="60"/>
      <c r="Y55" s="60"/>
      <c r="Z55" s="60"/>
      <c r="AA55" s="60"/>
      <c r="AB55" s="60"/>
      <c r="AC55" s="60"/>
      <c r="AD55" s="60"/>
      <c r="AE55" s="60"/>
      <c r="AF55" s="60"/>
      <c r="AG55" s="60"/>
      <c r="AH55" s="60"/>
      <c r="AI55" s="75"/>
      <c r="AJ55" s="75"/>
      <c r="AK55" s="75"/>
    </row>
    <row r="56" spans="1:37" x14ac:dyDescent="0.2">
      <c r="A56" s="96"/>
      <c r="B56" s="143"/>
      <c r="C56" s="156"/>
      <c r="D56" s="156"/>
      <c r="E56" s="156"/>
      <c r="F56" s="156"/>
      <c r="G56" s="156"/>
      <c r="H56" s="144"/>
      <c r="I56" s="5"/>
      <c r="J56" s="143"/>
      <c r="K56" s="156"/>
      <c r="L56" s="156"/>
      <c r="M56" s="156"/>
      <c r="N56" s="156"/>
      <c r="O56" s="156"/>
      <c r="P56" s="208"/>
      <c r="Q56" s="14"/>
      <c r="R56" s="75"/>
      <c r="S56" s="75"/>
      <c r="T56" s="60"/>
      <c r="U56" s="60"/>
      <c r="V56" s="60"/>
      <c r="W56" s="60"/>
      <c r="X56" s="60"/>
      <c r="Y56" s="60"/>
      <c r="Z56" s="60"/>
      <c r="AA56" s="60"/>
      <c r="AB56" s="60"/>
      <c r="AC56" s="60"/>
      <c r="AD56" s="60"/>
      <c r="AE56" s="60"/>
      <c r="AF56" s="60"/>
      <c r="AG56" s="60"/>
      <c r="AH56" s="60"/>
      <c r="AI56" s="75"/>
      <c r="AJ56" s="75"/>
      <c r="AK56" s="75"/>
    </row>
    <row r="57" spans="1:37" x14ac:dyDescent="0.2">
      <c r="A57" s="96"/>
      <c r="B57" s="182" t="s">
        <v>61</v>
      </c>
      <c r="C57" s="182"/>
      <c r="D57" s="147"/>
      <c r="E57" s="155"/>
      <c r="F57" s="155"/>
      <c r="G57" s="155"/>
      <c r="H57" s="148"/>
      <c r="I57" s="5"/>
      <c r="J57" s="182" t="s">
        <v>61</v>
      </c>
      <c r="K57" s="182"/>
      <c r="L57" s="147"/>
      <c r="M57" s="155"/>
      <c r="N57" s="155"/>
      <c r="O57" s="155"/>
      <c r="P57" s="181"/>
      <c r="Q57" s="33"/>
      <c r="R57" s="75"/>
      <c r="S57" s="75"/>
      <c r="T57" s="60"/>
      <c r="U57" s="60"/>
      <c r="V57" s="60"/>
      <c r="W57" s="60"/>
      <c r="X57" s="60"/>
      <c r="Y57" s="60"/>
      <c r="Z57" s="60"/>
      <c r="AA57" s="60"/>
      <c r="AB57" s="60"/>
      <c r="AC57" s="60"/>
      <c r="AD57" s="60"/>
      <c r="AE57" s="60"/>
      <c r="AF57" s="60"/>
      <c r="AG57" s="60"/>
      <c r="AH57" s="60"/>
      <c r="AI57" s="75"/>
      <c r="AJ57" s="75"/>
      <c r="AK57" s="75"/>
    </row>
    <row r="58" spans="1:37" ht="12.75" customHeight="1" x14ac:dyDescent="0.2">
      <c r="A58" s="96">
        <v>90</v>
      </c>
      <c r="B58" s="182" t="s">
        <v>10</v>
      </c>
      <c r="C58" s="182"/>
      <c r="D58" s="52">
        <f>(E37*E29*C167*TAN(RADIANS(A58/2)))/(C139+0.5*C142)</f>
        <v>9.2853243720404777</v>
      </c>
      <c r="E58" s="52">
        <f>(E37*E29*D167*TAN(RADIANS(A58/2)))/(D139+0.5*D142)</f>
        <v>12.104170378882332</v>
      </c>
      <c r="F58" s="52">
        <f>(E37*E29*E167*TAN(RADIANS(A58/2)))/(E139+0.5*E142)</f>
        <v>14.372141594744994</v>
      </c>
      <c r="G58" s="52">
        <f>(E37*E29*F167*TAN(RADIANS(A58/2)))/(F139+0.5*F142)</f>
        <v>16.813946803372936</v>
      </c>
      <c r="H58" s="52">
        <f>(E37*E29*G167*TAN(RADIANS(A58/2)))/(G139+0.5*G142)</f>
        <v>21.251277256026214</v>
      </c>
      <c r="I58" s="5"/>
      <c r="J58" s="182" t="s">
        <v>10</v>
      </c>
      <c r="K58" s="182"/>
      <c r="L58" s="52">
        <f>(E37*E29*C167*TAN(RADIANS(A58/2)))/(C140+0.5*C142)</f>
        <v>10.53121738924143</v>
      </c>
      <c r="M58" s="52">
        <f>(E37*E29*D167*TAN(RADIANS(A58/2)))/(D140+0.5*D142)</f>
        <v>13.719510304463952</v>
      </c>
      <c r="N58" s="52">
        <f>(E37*E29*E167*TAN(RADIANS(A58/2)))/(E140+0.5*E142)</f>
        <v>16.272904957956165</v>
      </c>
      <c r="O58" s="52">
        <f>(E37*E29*F167*TAN(RADIANS(A58/2)))/(F140+0.5*F142)</f>
        <v>19.029245640858868</v>
      </c>
      <c r="P58" s="110">
        <f>(E37*E29*G167*TAN(RADIANS(A58/2)))/(G140+0.5*G142)</f>
        <v>24.020715832377405</v>
      </c>
      <c r="Q58" s="65"/>
      <c r="R58" s="75"/>
      <c r="S58" s="75"/>
      <c r="T58" s="60"/>
      <c r="U58" s="60"/>
      <c r="V58" s="60"/>
      <c r="W58" s="60"/>
      <c r="X58" s="60"/>
      <c r="Y58" s="60"/>
      <c r="Z58" s="60"/>
      <c r="AA58" s="60"/>
      <c r="AB58" s="60"/>
      <c r="AC58" s="60"/>
      <c r="AD58" s="60"/>
      <c r="AE58" s="60"/>
      <c r="AF58" s="60"/>
      <c r="AG58" s="60"/>
      <c r="AH58" s="60"/>
      <c r="AI58" s="75"/>
      <c r="AJ58" s="75"/>
      <c r="AK58" s="75"/>
    </row>
    <row r="59" spans="1:37" ht="15.75" customHeight="1" x14ac:dyDescent="0.2">
      <c r="A59" s="96">
        <v>45</v>
      </c>
      <c r="B59" s="182" t="s">
        <v>11</v>
      </c>
      <c r="C59" s="182"/>
      <c r="D59" s="52">
        <f>(E37*E29*C167*TAN(RADIANS(A59/2)))/(C139+0.5*C142)</f>
        <v>3.8461072859326082</v>
      </c>
      <c r="E59" s="52">
        <f>(E37*E29*D167*TAN(RADIANS(A59/2)))/(D139+0.5*D142)</f>
        <v>5.013711532207747</v>
      </c>
      <c r="F59" s="52">
        <f>(E37*E29*E167*TAN(RADIANS(A59/2)))/(E139+0.5*E142)</f>
        <v>5.9531359688898604</v>
      </c>
      <c r="G59" s="52">
        <f>(E37*E29*F167*TAN(RADIANS(A59/2)))/(F139+0.5*F142)</f>
        <v>6.9645648029768177</v>
      </c>
      <c r="H59" s="52">
        <f>(E37*E29*G167*TAN(RADIANS(A59/2)))/(G139+0.5*G142)</f>
        <v>8.8025672571969498</v>
      </c>
      <c r="I59" s="5"/>
      <c r="J59" s="182" t="s">
        <v>11</v>
      </c>
      <c r="K59" s="182"/>
      <c r="L59" s="52">
        <f>(E37*E29*C167*TAN(RADIANS(A59/2)))/(C140+0.5*C142)</f>
        <v>4.3621730709231787</v>
      </c>
      <c r="M59" s="52">
        <f>(E37*E29*D167*TAN(RADIANS(A59/2)))/(D140+0.5*D142)</f>
        <v>5.6828072372264007</v>
      </c>
      <c r="N59" s="52">
        <f>(E37*E29*E167*TAN(RADIANS(A59/2)))/(E140+0.5*E142)</f>
        <v>6.7404579327938254</v>
      </c>
      <c r="O59" s="52">
        <f>(E37*E29*F167*TAN(RADIANS(A59/2)))/(F140+0.5*F142)</f>
        <v>7.8821716261728421</v>
      </c>
      <c r="P59" s="110">
        <f>(E37*E29*G167*TAN(RADIANS(A59/2)))/(G140+0.5*G142)</f>
        <v>9.9497062756808514</v>
      </c>
      <c r="Q59" s="65"/>
      <c r="R59" s="75"/>
      <c r="S59" s="75"/>
      <c r="T59" s="60"/>
      <c r="U59" s="60"/>
      <c r="V59" s="60"/>
      <c r="W59" s="60"/>
      <c r="X59" s="60"/>
      <c r="Y59" s="60"/>
      <c r="Z59" s="60"/>
      <c r="AA59" s="60"/>
      <c r="AB59" s="60"/>
      <c r="AC59" s="60"/>
      <c r="AD59" s="60"/>
      <c r="AE59" s="60"/>
      <c r="AF59" s="60"/>
      <c r="AG59" s="60"/>
      <c r="AH59" s="60"/>
      <c r="AI59" s="75"/>
      <c r="AJ59" s="75"/>
      <c r="AK59" s="75"/>
    </row>
    <row r="60" spans="1:37" ht="13.5" customHeight="1" x14ac:dyDescent="0.2">
      <c r="A60" s="96">
        <v>22.5</v>
      </c>
      <c r="B60" s="182" t="s">
        <v>99</v>
      </c>
      <c r="C60" s="182"/>
      <c r="D60" s="52">
        <f>(E37*E29*C167*TAN(RADIANS(A60/2)))/(C139+0.5*C142)</f>
        <v>1.8469658527306079</v>
      </c>
      <c r="E60" s="52">
        <f>(E37*E29*D167*TAN(RADIANS(A60/2)))/(D139+0.5*D142)</f>
        <v>2.4076691852302172</v>
      </c>
      <c r="F60" s="52">
        <f>(E37*E29*E167*TAN(RADIANS(A60/2)))/(E139+0.5*E142)</f>
        <v>2.858796708926381</v>
      </c>
      <c r="G60" s="52">
        <f>(E37*E29*F167*TAN(RADIANS(A60/2)))/(F139+0.5*F142)</f>
        <v>3.3445019636545439</v>
      </c>
      <c r="H60" s="52">
        <f>(E37*E29*G167*TAN(RADIANS(A60/2)))/(G139+0.5*G142)</f>
        <v>4.2271418688376574</v>
      </c>
      <c r="I60" s="5"/>
      <c r="J60" s="182" t="s">
        <v>99</v>
      </c>
      <c r="K60" s="182"/>
      <c r="L60" s="52">
        <f>(E37*E29*C167*TAN(RADIANS(A60/2)))/(C140+0.5*C142)</f>
        <v>2.0947893822838344</v>
      </c>
      <c r="M60" s="52">
        <f>(E37*E29*D167*TAN(RADIANS(A60/2)))/(D140+0.5*D142)</f>
        <v>2.7289802739505382</v>
      </c>
      <c r="N60" s="52">
        <f>(E37*E29*E167*TAN(RADIANS(A60/2)))/(E140+0.5*E142)</f>
        <v>3.236882049331236</v>
      </c>
      <c r="O60" s="52">
        <f>(E37*E29*F167*TAN(RADIANS(A60/2)))/(F140+0.5*F142)</f>
        <v>3.7851522998722751</v>
      </c>
      <c r="P60" s="110">
        <f>(E37*E29*G167*TAN(RADIANS(A60/2)))/(G140+0.5*G142)</f>
        <v>4.7780174523722234</v>
      </c>
      <c r="Q60" s="65"/>
      <c r="R60" s="75"/>
      <c r="S60" s="75"/>
      <c r="T60" s="60"/>
      <c r="U60" s="60"/>
      <c r="V60" s="60"/>
      <c r="W60" s="60"/>
      <c r="X60" s="60"/>
      <c r="Y60" s="60"/>
      <c r="Z60" s="60"/>
      <c r="AA60" s="60"/>
      <c r="AB60" s="60"/>
      <c r="AC60" s="60"/>
      <c r="AD60" s="60"/>
      <c r="AE60" s="60"/>
      <c r="AF60" s="60"/>
      <c r="AG60" s="60"/>
      <c r="AH60" s="60"/>
      <c r="AI60" s="75"/>
      <c r="AJ60" s="75"/>
      <c r="AK60" s="75"/>
    </row>
    <row r="61" spans="1:37" ht="12.75" customHeight="1" x14ac:dyDescent="0.2">
      <c r="A61" s="96">
        <v>11.25</v>
      </c>
      <c r="B61" s="182" t="s">
        <v>100</v>
      </c>
      <c r="C61" s="182"/>
      <c r="D61" s="52">
        <f>(E37*E29*C167*TAN(RADIANS(A61/2)))/(C139+0.5*C142)</f>
        <v>0.91452462802874668</v>
      </c>
      <c r="E61" s="52">
        <f>(E37*E29*D167*TAN(RADIANS(A61/2)))/(D139+0.5*D142)</f>
        <v>1.1921567270903395</v>
      </c>
      <c r="F61" s="52">
        <f>(E37*E29*E167*TAN(RADIANS(A61/2)))/(E139+0.5*E142)</f>
        <v>1.4155323949143075</v>
      </c>
      <c r="G61" s="52">
        <f>(E37*E29*F167*TAN(RADIANS(A61/2)))/(F139+0.5*F142)</f>
        <v>1.6560292166369062</v>
      </c>
      <c r="H61" s="52">
        <f>(E37*E29*G167*TAN(RADIANS(A61/2)))/(G139+0.5*G142)</f>
        <v>2.0930681200782089</v>
      </c>
      <c r="I61" s="5"/>
      <c r="J61" s="182" t="s">
        <v>100</v>
      </c>
      <c r="K61" s="182"/>
      <c r="L61" s="52">
        <f>(E37*E29*C167*TAN(RADIANS(A61/2)))/(C140+0.5*C142)</f>
        <v>1.0372343797257602</v>
      </c>
      <c r="M61" s="52">
        <f>(E37*E29*D167*TAN(RADIANS(A61/2)))/(D140+0.5*D142)</f>
        <v>1.3512538232597306</v>
      </c>
      <c r="N61" s="52">
        <f>(E37*E29*E167*TAN(RADIANS(A61/2)))/(E140+0.5*E142)</f>
        <v>1.6027412460068591</v>
      </c>
      <c r="O61" s="52">
        <f>(E37*E29*F167*TAN(RADIANS(A61/2)))/(F140+0.5*F142)</f>
        <v>1.8742171079963903</v>
      </c>
      <c r="P61" s="110">
        <f>(E37*E29*G167*TAN(RADIANS(A61/2)))/(G140+0.5*G142)</f>
        <v>2.3658340119745049</v>
      </c>
      <c r="Q61" s="65"/>
      <c r="R61" s="75"/>
      <c r="S61" s="75"/>
      <c r="T61" s="60"/>
      <c r="U61" s="60"/>
      <c r="V61" s="60"/>
      <c r="W61" s="60"/>
      <c r="X61" s="60"/>
      <c r="Y61" s="60"/>
      <c r="Z61" s="60"/>
      <c r="AA61" s="60"/>
      <c r="AB61" s="60"/>
      <c r="AC61" s="60"/>
      <c r="AD61" s="60"/>
      <c r="AE61" s="60"/>
      <c r="AF61" s="60"/>
      <c r="AG61" s="60"/>
      <c r="AH61" s="60"/>
      <c r="AI61" s="75"/>
      <c r="AJ61" s="75"/>
      <c r="AK61" s="75"/>
    </row>
    <row r="62" spans="1:37" ht="12.75" customHeight="1" x14ac:dyDescent="0.2">
      <c r="A62" s="96"/>
      <c r="B62" s="143"/>
      <c r="C62" s="156"/>
      <c r="D62" s="156"/>
      <c r="E62" s="156"/>
      <c r="F62" s="156"/>
      <c r="G62" s="156"/>
      <c r="H62" s="144"/>
      <c r="I62" s="5"/>
      <c r="J62" s="143"/>
      <c r="K62" s="156"/>
      <c r="L62" s="156"/>
      <c r="M62" s="156"/>
      <c r="N62" s="156"/>
      <c r="O62" s="156"/>
      <c r="P62" s="208"/>
      <c r="Q62" s="14"/>
      <c r="U62" s="55"/>
      <c r="Y62" s="55"/>
      <c r="AC62" s="55"/>
      <c r="AG62" s="55"/>
    </row>
    <row r="63" spans="1:37" x14ac:dyDescent="0.2">
      <c r="A63" s="96"/>
      <c r="B63" s="182" t="s">
        <v>67</v>
      </c>
      <c r="C63" s="182"/>
      <c r="D63" s="147"/>
      <c r="E63" s="155"/>
      <c r="F63" s="155"/>
      <c r="G63" s="155"/>
      <c r="H63" s="148"/>
      <c r="I63" s="5"/>
      <c r="J63" s="182" t="s">
        <v>67</v>
      </c>
      <c r="K63" s="182"/>
      <c r="L63" s="147"/>
      <c r="M63" s="155"/>
      <c r="N63" s="155"/>
      <c r="O63" s="155"/>
      <c r="P63" s="181"/>
      <c r="Q63" s="33"/>
      <c r="U63" s="55"/>
      <c r="Y63" s="55"/>
      <c r="AC63" s="55"/>
      <c r="AG63" s="55"/>
    </row>
    <row r="64" spans="1:37" x14ac:dyDescent="0.2">
      <c r="A64" s="96"/>
      <c r="B64" s="192"/>
      <c r="C64" s="192"/>
      <c r="D64" s="52">
        <f>(E37*E29*C167)/C145</f>
        <v>23.54594691716002</v>
      </c>
      <c r="E64" s="52">
        <f>(E37*E29*D167)/D145</f>
        <v>30.84117855508411</v>
      </c>
      <c r="F64" s="52">
        <f>(E37*E29*E167)/E145</f>
        <v>36.913036952447371</v>
      </c>
      <c r="G64" s="52">
        <f>(E37*E29*F167)/F145</f>
        <v>43.329150699617422</v>
      </c>
      <c r="H64" s="52">
        <f>(E37*E29*G167)/G145</f>
        <v>55.296863747160195</v>
      </c>
      <c r="I64" s="5"/>
      <c r="J64" s="192"/>
      <c r="K64" s="192"/>
      <c r="L64" s="52">
        <f>(E37*E29*C167)/C146</f>
        <v>33.637067024514316</v>
      </c>
      <c r="M64" s="52">
        <f>(E37*E29*D167)/D146</f>
        <v>44.058826507263014</v>
      </c>
      <c r="N64" s="52">
        <f>(E37*E29*E167)/E146</f>
        <v>52.732909932067685</v>
      </c>
      <c r="O64" s="52">
        <f>(E37*E29*F167)/F146</f>
        <v>61.898786713739177</v>
      </c>
      <c r="P64" s="110">
        <f>(E37*E29*G167)/G146</f>
        <v>78.995519638800303</v>
      </c>
      <c r="Q64" s="65"/>
      <c r="U64" s="55"/>
      <c r="Y64" s="55"/>
      <c r="AC64" s="55"/>
      <c r="AG64" s="55"/>
    </row>
    <row r="65" spans="1:33" x14ac:dyDescent="0.2">
      <c r="A65" s="96"/>
      <c r="B65" s="10"/>
      <c r="C65" s="5"/>
      <c r="D65" s="5"/>
      <c r="E65" s="5"/>
      <c r="F65" s="5"/>
      <c r="G65" s="5"/>
      <c r="H65" s="5"/>
      <c r="I65" s="5"/>
      <c r="J65" s="5"/>
      <c r="K65" s="5"/>
      <c r="L65" s="5"/>
      <c r="M65" s="5"/>
      <c r="N65" s="5"/>
      <c r="O65" s="10"/>
      <c r="P65" s="97"/>
      <c r="U65" s="55"/>
      <c r="V65" s="55"/>
      <c r="Y65" s="55"/>
      <c r="AC65" s="55"/>
      <c r="AD65" s="55"/>
      <c r="AG65" s="55"/>
    </row>
    <row r="66" spans="1:33" ht="15.75" hidden="1" x14ac:dyDescent="0.25">
      <c r="A66" s="96"/>
      <c r="B66" s="142" t="s">
        <v>81</v>
      </c>
      <c r="C66" s="142"/>
      <c r="D66" s="5"/>
      <c r="E66" s="5"/>
      <c r="F66" s="5"/>
      <c r="G66" s="5"/>
      <c r="H66" s="5"/>
      <c r="I66" s="5"/>
      <c r="J66" s="5"/>
      <c r="K66" s="5"/>
      <c r="L66" s="5"/>
      <c r="M66" s="5"/>
      <c r="N66" s="5"/>
      <c r="O66" s="10"/>
      <c r="P66" s="97"/>
      <c r="U66" s="55"/>
      <c r="V66" s="55"/>
      <c r="Y66" s="55"/>
      <c r="AC66" s="55"/>
      <c r="AD66" s="55"/>
      <c r="AG66" s="55"/>
    </row>
    <row r="67" spans="1:33" ht="15.75" hidden="1" x14ac:dyDescent="0.25">
      <c r="A67" s="96"/>
      <c r="B67" s="9"/>
      <c r="C67" s="9"/>
      <c r="D67" s="5"/>
      <c r="E67" s="5"/>
      <c r="F67" s="5"/>
      <c r="G67" s="5"/>
      <c r="H67" s="5"/>
      <c r="I67" s="5"/>
      <c r="J67" s="5"/>
      <c r="K67" s="5"/>
      <c r="L67" s="5"/>
      <c r="M67" s="5"/>
      <c r="N67" s="5"/>
      <c r="O67" s="10"/>
      <c r="P67" s="97"/>
      <c r="U67" s="55"/>
      <c r="V67" s="55"/>
      <c r="Y67" s="55"/>
      <c r="AC67" s="55"/>
      <c r="AD67" s="55"/>
      <c r="AG67" s="55"/>
    </row>
    <row r="68" spans="1:33" hidden="1" x14ac:dyDescent="0.2">
      <c r="A68" s="96"/>
      <c r="B68" s="183" t="s">
        <v>126</v>
      </c>
      <c r="C68" s="183"/>
      <c r="D68" s="183"/>
      <c r="E68" s="183"/>
      <c r="F68" s="183"/>
      <c r="G68" s="183"/>
      <c r="H68" s="4"/>
      <c r="I68" s="4"/>
      <c r="J68" s="183" t="s">
        <v>127</v>
      </c>
      <c r="K68" s="183"/>
      <c r="L68" s="183"/>
      <c r="M68" s="183"/>
      <c r="N68" s="183"/>
      <c r="O68" s="183"/>
      <c r="P68" s="97"/>
      <c r="U68" s="55"/>
      <c r="V68" s="55"/>
      <c r="Y68" s="55"/>
      <c r="AC68" s="55"/>
      <c r="AD68" s="55"/>
      <c r="AG68" s="55"/>
    </row>
    <row r="69" spans="1:33" ht="78" hidden="1" customHeight="1" x14ac:dyDescent="0.2">
      <c r="A69" s="96"/>
      <c r="B69" s="205" t="s">
        <v>105</v>
      </c>
      <c r="C69" s="206"/>
      <c r="D69" s="205" t="s">
        <v>78</v>
      </c>
      <c r="E69" s="206"/>
      <c r="F69" s="205" t="s">
        <v>79</v>
      </c>
      <c r="G69" s="206"/>
      <c r="H69" s="5"/>
      <c r="I69" s="5"/>
      <c r="J69" s="205" t="s">
        <v>105</v>
      </c>
      <c r="K69" s="206"/>
      <c r="L69" s="205" t="s">
        <v>78</v>
      </c>
      <c r="M69" s="206"/>
      <c r="N69" s="205" t="s">
        <v>80</v>
      </c>
      <c r="O69" s="206"/>
      <c r="P69" s="97"/>
      <c r="U69" s="55"/>
      <c r="V69" s="55"/>
      <c r="Y69" s="55"/>
      <c r="AC69" s="55"/>
      <c r="AD69" s="55"/>
      <c r="AG69" s="55"/>
    </row>
    <row r="70" spans="1:33" hidden="1" x14ac:dyDescent="0.2">
      <c r="A70" s="96"/>
      <c r="B70" s="165"/>
      <c r="C70" s="166"/>
      <c r="D70" s="166"/>
      <c r="E70" s="166"/>
      <c r="F70" s="166"/>
      <c r="G70" s="167"/>
      <c r="H70" s="5"/>
      <c r="I70" s="5"/>
      <c r="J70" s="165"/>
      <c r="K70" s="166"/>
      <c r="L70" s="166"/>
      <c r="M70" s="166"/>
      <c r="N70" s="166"/>
      <c r="O70" s="167"/>
      <c r="P70" s="97"/>
      <c r="U70" s="55"/>
      <c r="Y70" s="55"/>
      <c r="AC70" s="55"/>
      <c r="AG70" s="55"/>
    </row>
    <row r="71" spans="1:33" hidden="1" x14ac:dyDescent="0.2">
      <c r="A71" s="96"/>
      <c r="B71" s="173" t="s">
        <v>77</v>
      </c>
      <c r="C71" s="174"/>
      <c r="D71" s="157">
        <v>1</v>
      </c>
      <c r="E71" s="158"/>
      <c r="F71" s="179">
        <f>((E37*E29*J133)-(0.5*J129*D71))/J140</f>
        <v>22.010123075823852</v>
      </c>
      <c r="G71" s="180"/>
      <c r="H71" s="5"/>
      <c r="I71" s="5"/>
      <c r="J71" s="173" t="s">
        <v>77</v>
      </c>
      <c r="K71" s="174"/>
      <c r="L71" s="157">
        <v>1</v>
      </c>
      <c r="M71" s="158"/>
      <c r="N71" s="179">
        <f>((E37*E29*J133)-(0.5*J129*L71))/J141</f>
        <v>31.443032965462649</v>
      </c>
      <c r="O71" s="180"/>
      <c r="P71" s="97"/>
      <c r="U71" s="55"/>
      <c r="V71" s="55"/>
      <c r="Y71" s="55"/>
      <c r="AC71" s="55"/>
      <c r="AD71" s="55"/>
      <c r="AG71" s="55"/>
    </row>
    <row r="72" spans="1:33" hidden="1" x14ac:dyDescent="0.2">
      <c r="A72" s="96"/>
      <c r="B72" s="175"/>
      <c r="C72" s="176"/>
      <c r="D72" s="157">
        <v>5</v>
      </c>
      <c r="E72" s="158"/>
      <c r="F72" s="179">
        <f>((E37*E29*J133)-(0.5*J129*D72))/J140</f>
        <v>15.866827710479184</v>
      </c>
      <c r="G72" s="180"/>
      <c r="H72" s="5"/>
      <c r="I72" s="5"/>
      <c r="J72" s="175"/>
      <c r="K72" s="176"/>
      <c r="L72" s="157">
        <v>5</v>
      </c>
      <c r="M72" s="158"/>
      <c r="N72" s="179">
        <f>((E37*E29*J133)-(0.5*J129*L72))/J141</f>
        <v>22.666896729255978</v>
      </c>
      <c r="O72" s="180"/>
      <c r="P72" s="97"/>
      <c r="U72" s="55"/>
      <c r="V72" s="55"/>
      <c r="Y72" s="55"/>
      <c r="AC72" s="55"/>
      <c r="AD72" s="55"/>
      <c r="AG72" s="55"/>
    </row>
    <row r="73" spans="1:33" hidden="1" x14ac:dyDescent="0.2">
      <c r="A73" s="96"/>
      <c r="B73" s="175"/>
      <c r="C73" s="176"/>
      <c r="D73" s="157">
        <v>10</v>
      </c>
      <c r="E73" s="158"/>
      <c r="F73" s="179">
        <f>((E37*E29*J133)-(0.5*J129*D73))/J140</f>
        <v>8.1877085037983495</v>
      </c>
      <c r="G73" s="180"/>
      <c r="H73" s="5"/>
      <c r="I73" s="5"/>
      <c r="J73" s="175"/>
      <c r="K73" s="176"/>
      <c r="L73" s="157">
        <v>10</v>
      </c>
      <c r="M73" s="158"/>
      <c r="N73" s="179">
        <f>((E37*E29*J133)-(0.5*J129*L73))/J141</f>
        <v>11.696726433997641</v>
      </c>
      <c r="O73" s="180"/>
      <c r="P73" s="97"/>
      <c r="U73" s="55"/>
      <c r="V73" s="55"/>
      <c r="Y73" s="55"/>
      <c r="AC73" s="55"/>
      <c r="AD73" s="55"/>
      <c r="AG73" s="55"/>
    </row>
    <row r="74" spans="1:33" hidden="1" x14ac:dyDescent="0.2">
      <c r="A74" s="96"/>
      <c r="B74" s="175"/>
      <c r="C74" s="176"/>
      <c r="D74" s="157">
        <v>15</v>
      </c>
      <c r="E74" s="158"/>
      <c r="F74" s="179">
        <f>((E37*E29*J133)-(0.5*J129*D74))/J140</f>
        <v>0.508589297117513</v>
      </c>
      <c r="G74" s="180"/>
      <c r="H74" s="5"/>
      <c r="I74" s="5"/>
      <c r="J74" s="175"/>
      <c r="K74" s="176"/>
      <c r="L74" s="157">
        <v>15</v>
      </c>
      <c r="M74" s="158"/>
      <c r="N74" s="179">
        <f>((E37*E29*J133)-(0.5*J129*L74))/J141</f>
        <v>0.72655613873930436</v>
      </c>
      <c r="O74" s="180"/>
      <c r="P74" s="97"/>
      <c r="U74" s="55"/>
      <c r="V74" s="55"/>
      <c r="Y74" s="55"/>
      <c r="AC74" s="55"/>
      <c r="AD74" s="55"/>
      <c r="AG74" s="55"/>
    </row>
    <row r="75" spans="1:33" hidden="1" x14ac:dyDescent="0.2">
      <c r="A75" s="96"/>
      <c r="B75" s="177"/>
      <c r="C75" s="178"/>
      <c r="D75" s="157">
        <v>20</v>
      </c>
      <c r="E75" s="158"/>
      <c r="F75" s="179">
        <f>((E37*E29*J133)-(0.5*J129*D75))/J140</f>
        <v>-7.1705299095633226</v>
      </c>
      <c r="G75" s="180"/>
      <c r="H75" s="5"/>
      <c r="I75" s="5"/>
      <c r="J75" s="177"/>
      <c r="K75" s="178"/>
      <c r="L75" s="157">
        <v>20</v>
      </c>
      <c r="M75" s="158"/>
      <c r="N75" s="179">
        <f>((E37*E29*J133)-(0.5*J129*L75))/J141</f>
        <v>-10.243614156519033</v>
      </c>
      <c r="O75" s="180"/>
      <c r="P75" s="97"/>
      <c r="U75" s="55"/>
      <c r="Y75" s="55"/>
      <c r="AC75" s="55"/>
      <c r="AG75" s="55"/>
    </row>
    <row r="76" spans="1:33" hidden="1" x14ac:dyDescent="0.2">
      <c r="A76" s="96"/>
      <c r="B76" s="143"/>
      <c r="C76" s="156"/>
      <c r="D76" s="156"/>
      <c r="E76" s="156"/>
      <c r="F76" s="156"/>
      <c r="G76" s="144"/>
      <c r="H76" s="5"/>
      <c r="I76" s="5"/>
      <c r="J76" s="143"/>
      <c r="K76" s="156"/>
      <c r="L76" s="156"/>
      <c r="M76" s="156"/>
      <c r="N76" s="156"/>
      <c r="O76" s="144"/>
      <c r="P76" s="97"/>
      <c r="U76" s="55"/>
      <c r="V76" s="55"/>
      <c r="Y76" s="55"/>
      <c r="AC76" s="55"/>
      <c r="AD76" s="55"/>
      <c r="AG76" s="55"/>
    </row>
    <row r="77" spans="1:33" hidden="1" x14ac:dyDescent="0.2">
      <c r="A77" s="96"/>
      <c r="B77" s="173" t="s">
        <v>72</v>
      </c>
      <c r="C77" s="174"/>
      <c r="D77" s="157">
        <v>1</v>
      </c>
      <c r="E77" s="158"/>
      <c r="F77" s="179">
        <f>((E37*E29*K133)-(0.5*K129*D77))/K140</f>
        <v>16.342781885727096</v>
      </c>
      <c r="G77" s="180"/>
      <c r="H77" s="5"/>
      <c r="I77" s="5"/>
      <c r="J77" s="173" t="s">
        <v>72</v>
      </c>
      <c r="K77" s="174"/>
      <c r="L77" s="157">
        <v>1</v>
      </c>
      <c r="M77" s="158"/>
      <c r="N77" s="179">
        <f>((E37*E29*K133)-(0.5*K129*L77))/K141</f>
        <v>23.346831265324425</v>
      </c>
      <c r="O77" s="180"/>
      <c r="P77" s="97"/>
      <c r="U77" s="55"/>
      <c r="V77" s="55"/>
      <c r="Y77" s="55"/>
      <c r="AC77" s="55"/>
      <c r="AD77" s="55"/>
      <c r="AG77" s="55"/>
    </row>
    <row r="78" spans="1:33" hidden="1" x14ac:dyDescent="0.2">
      <c r="A78" s="96"/>
      <c r="B78" s="175"/>
      <c r="C78" s="176"/>
      <c r="D78" s="157">
        <v>5</v>
      </c>
      <c r="E78" s="158"/>
      <c r="F78" s="179">
        <f>((E37*E29*K133)-(0.5*K129*D78))/K140</f>
        <v>10.150863698953557</v>
      </c>
      <c r="G78" s="180"/>
      <c r="H78" s="5"/>
      <c r="I78" s="5"/>
      <c r="J78" s="175"/>
      <c r="K78" s="176"/>
      <c r="L78" s="157">
        <v>5</v>
      </c>
      <c r="M78" s="158"/>
      <c r="N78" s="179">
        <f>((E37*E29*K133)-(0.5*K129*L78))/K141</f>
        <v>14.501233855647939</v>
      </c>
      <c r="O78" s="180"/>
      <c r="P78" s="97"/>
      <c r="U78" s="55"/>
      <c r="V78" s="55"/>
      <c r="Y78" s="55"/>
      <c r="AC78" s="55"/>
      <c r="AD78" s="55"/>
      <c r="AG78" s="55"/>
    </row>
    <row r="79" spans="1:33" hidden="1" x14ac:dyDescent="0.2">
      <c r="A79" s="96"/>
      <c r="B79" s="175"/>
      <c r="C79" s="176"/>
      <c r="D79" s="157">
        <v>10</v>
      </c>
      <c r="E79" s="158"/>
      <c r="F79" s="179">
        <f>((E37*E29*K133)-(0.5*K129*D79))/K140</f>
        <v>2.410965965486632</v>
      </c>
      <c r="G79" s="180"/>
      <c r="H79" s="5"/>
      <c r="I79" s="5"/>
      <c r="J79" s="175"/>
      <c r="K79" s="176"/>
      <c r="L79" s="157">
        <v>10</v>
      </c>
      <c r="M79" s="158"/>
      <c r="N79" s="179">
        <f>((E37*E29*K133)-(0.5*K129*L79))/K141</f>
        <v>3.4442370935523314</v>
      </c>
      <c r="O79" s="180"/>
      <c r="P79" s="97"/>
      <c r="U79" s="55"/>
      <c r="V79" s="55"/>
      <c r="Y79" s="55"/>
      <c r="AC79" s="55"/>
      <c r="AD79" s="55"/>
      <c r="AG79" s="55"/>
    </row>
    <row r="80" spans="1:33" hidden="1" x14ac:dyDescent="0.2">
      <c r="A80" s="96"/>
      <c r="B80" s="175"/>
      <c r="C80" s="176"/>
      <c r="D80" s="157">
        <v>15</v>
      </c>
      <c r="E80" s="158"/>
      <c r="F80" s="179">
        <f>((E37*E29*K133)-(0.5*K129*D80))/K140</f>
        <v>-5.3289317679802934</v>
      </c>
      <c r="G80" s="180"/>
      <c r="H80" s="5"/>
      <c r="I80" s="5"/>
      <c r="J80" s="175"/>
      <c r="K80" s="176"/>
      <c r="L80" s="157">
        <v>15</v>
      </c>
      <c r="M80" s="158"/>
      <c r="N80" s="179">
        <f>((E37*E29*K133)-(0.5*K129*L80))/K141</f>
        <v>-7.6127596685432772</v>
      </c>
      <c r="O80" s="180"/>
      <c r="P80" s="97"/>
      <c r="U80" s="55"/>
      <c r="Y80" s="55"/>
      <c r="AC80" s="55"/>
      <c r="AG80" s="55"/>
    </row>
    <row r="81" spans="1:33" hidden="1" x14ac:dyDescent="0.2">
      <c r="A81" s="96"/>
      <c r="B81" s="177"/>
      <c r="C81" s="178"/>
      <c r="D81" s="157">
        <v>20</v>
      </c>
      <c r="E81" s="158"/>
      <c r="F81" s="179">
        <f>((E37*E29*K133)-(0.5*K129*D81))/K140</f>
        <v>-13.068829501447219</v>
      </c>
      <c r="G81" s="180"/>
      <c r="H81" s="5"/>
      <c r="I81" s="5"/>
      <c r="J81" s="177"/>
      <c r="K81" s="178"/>
      <c r="L81" s="157">
        <v>20</v>
      </c>
      <c r="M81" s="158"/>
      <c r="N81" s="179">
        <f>((E37*E29*K133)-(0.5*K129*L81))/K141</f>
        <v>-18.669756430638884</v>
      </c>
      <c r="O81" s="180"/>
      <c r="P81" s="97"/>
      <c r="U81" s="55"/>
      <c r="V81" s="55"/>
      <c r="Y81" s="55"/>
      <c r="AC81" s="55"/>
      <c r="AD81" s="55"/>
      <c r="AG81" s="55"/>
    </row>
    <row r="82" spans="1:33" hidden="1" x14ac:dyDescent="0.2">
      <c r="A82" s="96"/>
      <c r="B82" s="143"/>
      <c r="C82" s="156"/>
      <c r="D82" s="156"/>
      <c r="E82" s="156"/>
      <c r="F82" s="156"/>
      <c r="G82" s="144"/>
      <c r="H82" s="5"/>
      <c r="I82" s="5"/>
      <c r="J82" s="143"/>
      <c r="K82" s="156"/>
      <c r="L82" s="156"/>
      <c r="M82" s="156"/>
      <c r="N82" s="156"/>
      <c r="O82" s="144"/>
      <c r="P82" s="97"/>
      <c r="U82" s="55"/>
      <c r="Y82" s="55"/>
      <c r="AC82" s="55"/>
      <c r="AG82" s="55"/>
    </row>
    <row r="83" spans="1:33" hidden="1" x14ac:dyDescent="0.2">
      <c r="A83" s="96"/>
      <c r="B83" s="173" t="s">
        <v>73</v>
      </c>
      <c r="C83" s="174"/>
      <c r="D83" s="157">
        <v>1</v>
      </c>
      <c r="E83" s="158"/>
      <c r="F83" s="179">
        <f>((E37*E29*L133)-(0.5*L129*D83))/K140</f>
        <v>29.293199008390722</v>
      </c>
      <c r="G83" s="180"/>
      <c r="H83" s="5"/>
      <c r="I83" s="5"/>
      <c r="J83" s="173" t="s">
        <v>73</v>
      </c>
      <c r="K83" s="174"/>
      <c r="L83" s="157">
        <v>1</v>
      </c>
      <c r="M83" s="158"/>
      <c r="N83" s="179">
        <f>((E37*E29*L133)-(0.5*L129*L83))/K141</f>
        <v>41.847427154843892</v>
      </c>
      <c r="O83" s="180"/>
      <c r="P83" s="97"/>
      <c r="U83" s="55"/>
      <c r="Y83" s="55"/>
      <c r="AC83" s="55"/>
      <c r="AG83" s="55"/>
    </row>
    <row r="84" spans="1:33" hidden="1" x14ac:dyDescent="0.2">
      <c r="A84" s="96"/>
      <c r="B84" s="175"/>
      <c r="C84" s="176"/>
      <c r="D84" s="157">
        <v>5</v>
      </c>
      <c r="E84" s="158"/>
      <c r="F84" s="179">
        <f>((E37*E29*L133)-(0.5*L129*D84))/K140</f>
        <v>23.101280821617184</v>
      </c>
      <c r="G84" s="180"/>
      <c r="H84" s="5"/>
      <c r="I84" s="5"/>
      <c r="J84" s="175"/>
      <c r="K84" s="176"/>
      <c r="L84" s="157">
        <v>5</v>
      </c>
      <c r="M84" s="158"/>
      <c r="N84" s="179">
        <f>((E37*E29*L133)-(0.5*L129*L84))/K141</f>
        <v>33.001829745167406</v>
      </c>
      <c r="O84" s="180"/>
      <c r="P84" s="97"/>
      <c r="U84" s="55"/>
      <c r="Y84" s="55"/>
      <c r="AC84" s="55"/>
      <c r="AG84" s="55"/>
    </row>
    <row r="85" spans="1:33" hidden="1" x14ac:dyDescent="0.2">
      <c r="A85" s="96"/>
      <c r="B85" s="175"/>
      <c r="C85" s="176"/>
      <c r="D85" s="157">
        <v>10</v>
      </c>
      <c r="E85" s="158"/>
      <c r="F85" s="179">
        <f>((E37*E29*L133)-(0.5*L129*D85))/K140</f>
        <v>15.361383088150257</v>
      </c>
      <c r="G85" s="180"/>
      <c r="H85" s="5"/>
      <c r="I85" s="5"/>
      <c r="J85" s="175"/>
      <c r="K85" s="176"/>
      <c r="L85" s="157">
        <v>10</v>
      </c>
      <c r="M85" s="158"/>
      <c r="N85" s="179">
        <f>((E37*E29*L133)-(0.5*L129*L85))/K141</f>
        <v>21.944832983071795</v>
      </c>
      <c r="O85" s="180"/>
      <c r="P85" s="97"/>
      <c r="U85" s="55"/>
      <c r="Y85" s="55"/>
      <c r="AC85" s="55"/>
      <c r="AG85" s="55"/>
    </row>
    <row r="86" spans="1:33" hidden="1" x14ac:dyDescent="0.2">
      <c r="A86" s="96"/>
      <c r="B86" s="175"/>
      <c r="C86" s="176"/>
      <c r="D86" s="157">
        <v>15</v>
      </c>
      <c r="E86" s="158"/>
      <c r="F86" s="207">
        <f>((E37*E29*L133)-(0.5*L129*D86))/K140</f>
        <v>7.6214853546833305</v>
      </c>
      <c r="G86" s="180"/>
      <c r="H86" s="5"/>
      <c r="I86" s="5"/>
      <c r="J86" s="175"/>
      <c r="K86" s="176"/>
      <c r="L86" s="157">
        <v>15</v>
      </c>
      <c r="M86" s="158"/>
      <c r="N86" s="179">
        <f>((E37*E29*L133)-(0.5*L129*L86))/K141</f>
        <v>10.887836220976187</v>
      </c>
      <c r="O86" s="180"/>
      <c r="P86" s="97"/>
      <c r="U86" s="55"/>
      <c r="Y86" s="55"/>
      <c r="AC86" s="55"/>
      <c r="AG86" s="55"/>
    </row>
    <row r="87" spans="1:33" hidden="1" x14ac:dyDescent="0.2">
      <c r="A87" s="96"/>
      <c r="B87" s="177"/>
      <c r="C87" s="178"/>
      <c r="D87" s="157">
        <v>20</v>
      </c>
      <c r="E87" s="158"/>
      <c r="F87" s="179">
        <f>((E37*E29*L133)-(0.5*L129*D87))/K140</f>
        <v>-0.11841237878359476</v>
      </c>
      <c r="G87" s="180"/>
      <c r="H87" s="5"/>
      <c r="I87" s="5"/>
      <c r="J87" s="177"/>
      <c r="K87" s="178"/>
      <c r="L87" s="157">
        <v>20</v>
      </c>
      <c r="M87" s="158"/>
      <c r="N87" s="179">
        <f>((E37*E29*L133)-(0.5*L129*L87))/K141</f>
        <v>-0.16916054111942108</v>
      </c>
      <c r="O87" s="180"/>
      <c r="P87" s="97"/>
      <c r="U87" s="55"/>
      <c r="Y87" s="55"/>
      <c r="AC87" s="55"/>
      <c r="AG87" s="55"/>
    </row>
    <row r="88" spans="1:33" hidden="1" x14ac:dyDescent="0.2">
      <c r="A88" s="96"/>
      <c r="B88" s="170"/>
      <c r="C88" s="171"/>
      <c r="D88" s="171"/>
      <c r="E88" s="171"/>
      <c r="F88" s="171"/>
      <c r="G88" s="172"/>
      <c r="H88" s="5"/>
      <c r="I88" s="5"/>
      <c r="J88" s="170"/>
      <c r="K88" s="171"/>
      <c r="L88" s="171"/>
      <c r="M88" s="171"/>
      <c r="N88" s="171"/>
      <c r="O88" s="172"/>
      <c r="P88" s="97"/>
      <c r="U88" s="55"/>
      <c r="Y88" s="55"/>
      <c r="AC88" s="55"/>
      <c r="AG88" s="55"/>
    </row>
    <row r="89" spans="1:33" hidden="1" x14ac:dyDescent="0.2">
      <c r="A89" s="96"/>
      <c r="B89" s="173" t="s">
        <v>82</v>
      </c>
      <c r="C89" s="174"/>
      <c r="D89" s="157">
        <v>1</v>
      </c>
      <c r="E89" s="158"/>
      <c r="F89" s="179">
        <f>((E37*E29*M133)-(0.5*M129*D89))/L140</f>
        <v>22.976695922801586</v>
      </c>
      <c r="G89" s="180"/>
      <c r="H89" s="5"/>
      <c r="I89" s="5"/>
      <c r="J89" s="173" t="s">
        <v>82</v>
      </c>
      <c r="K89" s="174"/>
      <c r="L89" s="157">
        <v>1</v>
      </c>
      <c r="M89" s="158"/>
      <c r="N89" s="179">
        <f>((E37*E29*M133)-(0.5*M129*L89))/L141</f>
        <v>32.823851318287979</v>
      </c>
      <c r="O89" s="180"/>
      <c r="P89" s="97"/>
      <c r="U89" s="55"/>
      <c r="Y89" s="55"/>
      <c r="AC89" s="55"/>
      <c r="AG89" s="55"/>
    </row>
    <row r="90" spans="1:33" hidden="1" x14ac:dyDescent="0.2">
      <c r="A90" s="96"/>
      <c r="B90" s="175"/>
      <c r="C90" s="176"/>
      <c r="D90" s="157">
        <v>5</v>
      </c>
      <c r="E90" s="158"/>
      <c r="F90" s="179">
        <f>((E37*E29*M133)-(0.5*M129*D90))/L140</f>
        <v>16.703199322700126</v>
      </c>
      <c r="G90" s="180"/>
      <c r="H90" s="5"/>
      <c r="I90" s="5"/>
      <c r="J90" s="175"/>
      <c r="K90" s="176"/>
      <c r="L90" s="157">
        <v>5</v>
      </c>
      <c r="M90" s="158"/>
      <c r="N90" s="179">
        <f>((E37*E29*M133)-(0.5*M129*L90))/L141</f>
        <v>23.861713318143039</v>
      </c>
      <c r="O90" s="180"/>
      <c r="P90" s="97"/>
      <c r="U90" s="55"/>
      <c r="AC90" s="55"/>
    </row>
    <row r="91" spans="1:33" hidden="1" x14ac:dyDescent="0.2">
      <c r="A91" s="96"/>
      <c r="B91" s="175"/>
      <c r="C91" s="176"/>
      <c r="D91" s="157">
        <v>10</v>
      </c>
      <c r="E91" s="158"/>
      <c r="F91" s="179">
        <f>((E37*E29*M133)-(0.5*M129*D91))/L140</f>
        <v>8.8613285725733011</v>
      </c>
      <c r="G91" s="180"/>
      <c r="H91" s="5"/>
      <c r="I91" s="5"/>
      <c r="J91" s="175"/>
      <c r="K91" s="176"/>
      <c r="L91" s="157">
        <v>10</v>
      </c>
      <c r="M91" s="158"/>
      <c r="N91" s="179">
        <f>((E37*E29*M133)-(0.5*M129*L91))/L141</f>
        <v>12.659040817961861</v>
      </c>
      <c r="O91" s="180"/>
      <c r="P91" s="97"/>
      <c r="U91" s="55"/>
      <c r="AC91" s="55"/>
    </row>
    <row r="92" spans="1:33" hidden="1" x14ac:dyDescent="0.2">
      <c r="A92" s="96"/>
      <c r="B92" s="175"/>
      <c r="C92" s="176"/>
      <c r="D92" s="157">
        <v>15</v>
      </c>
      <c r="E92" s="158"/>
      <c r="F92" s="179">
        <f>((E37*E29*M133)-(0.5*M129*D92))/L140</f>
        <v>1.0194578224464783</v>
      </c>
      <c r="G92" s="180"/>
      <c r="H92" s="5"/>
      <c r="I92" s="5"/>
      <c r="J92" s="175"/>
      <c r="K92" s="176"/>
      <c r="L92" s="157">
        <v>15</v>
      </c>
      <c r="M92" s="158"/>
      <c r="N92" s="179">
        <f>((E37*E29*M133)-(0.5*M129*L92))/L141</f>
        <v>1.4563683177806837</v>
      </c>
      <c r="O92" s="180"/>
      <c r="P92" s="97"/>
      <c r="U92" s="55"/>
      <c r="AC92" s="55"/>
    </row>
    <row r="93" spans="1:33" hidden="1" x14ac:dyDescent="0.2">
      <c r="A93" s="96"/>
      <c r="B93" s="177"/>
      <c r="C93" s="178"/>
      <c r="D93" s="157">
        <v>20</v>
      </c>
      <c r="E93" s="158"/>
      <c r="F93" s="179">
        <f>((E37*E29*M133)-(0.5*M129*D93))/L140</f>
        <v>-6.8224129276803485</v>
      </c>
      <c r="G93" s="180"/>
      <c r="H93" s="5"/>
      <c r="I93" s="5"/>
      <c r="J93" s="177"/>
      <c r="K93" s="178"/>
      <c r="L93" s="157">
        <v>20</v>
      </c>
      <c r="M93" s="158"/>
      <c r="N93" s="179">
        <f>((E37*E29*M133)-(0.5*M129*L93))/L141</f>
        <v>-9.7463041824004986</v>
      </c>
      <c r="O93" s="180"/>
      <c r="P93" s="97"/>
      <c r="U93" s="55"/>
      <c r="AC93" s="55"/>
    </row>
    <row r="94" spans="1:33" hidden="1" x14ac:dyDescent="0.2">
      <c r="A94" s="96"/>
      <c r="B94" s="147"/>
      <c r="C94" s="155"/>
      <c r="D94" s="155"/>
      <c r="E94" s="155"/>
      <c r="F94" s="155"/>
      <c r="G94" s="148"/>
      <c r="H94" s="5"/>
      <c r="I94" s="5"/>
      <c r="J94" s="147"/>
      <c r="K94" s="155"/>
      <c r="L94" s="155"/>
      <c r="M94" s="155"/>
      <c r="N94" s="155"/>
      <c r="O94" s="148"/>
      <c r="P94" s="97"/>
      <c r="U94" s="55"/>
      <c r="AC94" s="55"/>
    </row>
    <row r="95" spans="1:33" hidden="1" x14ac:dyDescent="0.2">
      <c r="A95" s="96"/>
      <c r="B95" s="173" t="s">
        <v>83</v>
      </c>
      <c r="C95" s="174"/>
      <c r="D95" s="157">
        <v>1</v>
      </c>
      <c r="E95" s="158"/>
      <c r="F95" s="179">
        <f>((E37*E29*N133)-(0.5*N129*D95))/L140</f>
        <v>35.344662802422008</v>
      </c>
      <c r="G95" s="180"/>
      <c r="H95" s="5"/>
      <c r="I95" s="5"/>
      <c r="J95" s="173" t="s">
        <v>83</v>
      </c>
      <c r="K95" s="174"/>
      <c r="L95" s="157">
        <v>1</v>
      </c>
      <c r="M95" s="158"/>
      <c r="N95" s="179">
        <f>((E37*E29*N133)-(0.5*N129*L95))/L141</f>
        <v>50.492375432031452</v>
      </c>
      <c r="O95" s="180"/>
      <c r="P95" s="97"/>
      <c r="U95" s="55"/>
      <c r="AC95" s="55"/>
    </row>
    <row r="96" spans="1:33" hidden="1" x14ac:dyDescent="0.2">
      <c r="A96" s="96"/>
      <c r="B96" s="175"/>
      <c r="C96" s="176"/>
      <c r="D96" s="157">
        <v>5</v>
      </c>
      <c r="E96" s="158"/>
      <c r="F96" s="179">
        <f>((E37*E29*N133)-(0.5*N129*D96))/L140</f>
        <v>29.071166202320548</v>
      </c>
      <c r="G96" s="180"/>
      <c r="H96" s="5"/>
      <c r="I96" s="5"/>
      <c r="J96" s="175"/>
      <c r="K96" s="176"/>
      <c r="L96" s="157">
        <v>5</v>
      </c>
      <c r="M96" s="158"/>
      <c r="N96" s="179">
        <f>((E37*E29*N133)-(0.5*N129*L96))/L141</f>
        <v>41.530237431886498</v>
      </c>
      <c r="O96" s="180"/>
      <c r="P96" s="97"/>
      <c r="U96" s="55"/>
      <c r="AC96" s="55"/>
    </row>
    <row r="97" spans="1:16" hidden="1" x14ac:dyDescent="0.2">
      <c r="A97" s="96"/>
      <c r="B97" s="175"/>
      <c r="C97" s="176"/>
      <c r="D97" s="157">
        <v>10</v>
      </c>
      <c r="E97" s="158"/>
      <c r="F97" s="179">
        <f>((E37*E29*N133)-(0.5*N129*D97))/L140</f>
        <v>21.229295452193725</v>
      </c>
      <c r="G97" s="180"/>
      <c r="H97" s="5"/>
      <c r="I97" s="5"/>
      <c r="J97" s="175"/>
      <c r="K97" s="176"/>
      <c r="L97" s="157">
        <v>10</v>
      </c>
      <c r="M97" s="158"/>
      <c r="N97" s="179">
        <f>((E37*E29*N133)-(0.5*N129*L97))/L141</f>
        <v>30.327564931705325</v>
      </c>
      <c r="O97" s="180"/>
      <c r="P97" s="97"/>
    </row>
    <row r="98" spans="1:16" hidden="1" x14ac:dyDescent="0.2">
      <c r="A98" s="96"/>
      <c r="B98" s="175"/>
      <c r="C98" s="176"/>
      <c r="D98" s="157">
        <v>15</v>
      </c>
      <c r="E98" s="158"/>
      <c r="F98" s="179">
        <f>((E37*E29*N133)-(0.5*N129*D98))/L140</f>
        <v>13.387424702066902</v>
      </c>
      <c r="G98" s="180"/>
      <c r="H98" s="5"/>
      <c r="I98" s="5"/>
      <c r="J98" s="175"/>
      <c r="K98" s="176"/>
      <c r="L98" s="157">
        <v>15</v>
      </c>
      <c r="M98" s="158"/>
      <c r="N98" s="179">
        <f>((E37*E29*N133)-(0.5*N129*L98))/L141</f>
        <v>19.124892431524145</v>
      </c>
      <c r="O98" s="180"/>
      <c r="P98" s="97"/>
    </row>
    <row r="99" spans="1:16" hidden="1" x14ac:dyDescent="0.2">
      <c r="A99" s="96"/>
      <c r="B99" s="177"/>
      <c r="C99" s="178"/>
      <c r="D99" s="157">
        <v>20</v>
      </c>
      <c r="E99" s="158"/>
      <c r="F99" s="179">
        <f>((E37*E29*N133)-(0.5*N129*D99))/L140</f>
        <v>5.5455539519400752</v>
      </c>
      <c r="G99" s="180"/>
      <c r="H99" s="5"/>
      <c r="I99" s="5"/>
      <c r="J99" s="177"/>
      <c r="K99" s="178"/>
      <c r="L99" s="157">
        <v>20</v>
      </c>
      <c r="M99" s="158"/>
      <c r="N99" s="179">
        <f>((E37*E29*N133)-(0.5*N129*L99))/L141</f>
        <v>7.9222199313429646</v>
      </c>
      <c r="O99" s="180"/>
      <c r="P99" s="97"/>
    </row>
    <row r="100" spans="1:16" hidden="1" x14ac:dyDescent="0.2">
      <c r="A100" s="96"/>
      <c r="B100" s="170"/>
      <c r="C100" s="171"/>
      <c r="D100" s="171"/>
      <c r="E100" s="171"/>
      <c r="F100" s="171"/>
      <c r="G100" s="172"/>
      <c r="H100" s="5"/>
      <c r="I100" s="5"/>
      <c r="J100" s="170"/>
      <c r="K100" s="171"/>
      <c r="L100" s="171"/>
      <c r="M100" s="171"/>
      <c r="N100" s="171"/>
      <c r="O100" s="172"/>
      <c r="P100" s="97"/>
    </row>
    <row r="101" spans="1:16" hidden="1" x14ac:dyDescent="0.2">
      <c r="A101" s="96"/>
      <c r="B101" s="173" t="s">
        <v>84</v>
      </c>
      <c r="C101" s="174"/>
      <c r="D101" s="157">
        <v>1</v>
      </c>
      <c r="E101" s="158"/>
      <c r="F101" s="179">
        <f>((E37*E29*O133)-(0.5*O129*(2*D101)))/M140</f>
        <v>27.474181449370533</v>
      </c>
      <c r="G101" s="180"/>
      <c r="H101" s="5"/>
      <c r="I101" s="5"/>
      <c r="J101" s="173" t="s">
        <v>84</v>
      </c>
      <c r="K101" s="174"/>
      <c r="L101" s="157">
        <v>1</v>
      </c>
      <c r="M101" s="158"/>
      <c r="N101" s="179">
        <f>((E37*E29*O133)-(0.5*O129*(2*L101)))/M141</f>
        <v>39.248830641957909</v>
      </c>
      <c r="O101" s="180"/>
      <c r="P101" s="97"/>
    </row>
    <row r="102" spans="1:16" hidden="1" x14ac:dyDescent="0.2">
      <c r="A102" s="96"/>
      <c r="B102" s="175"/>
      <c r="C102" s="176"/>
      <c r="D102" s="157">
        <v>5</v>
      </c>
      <c r="E102" s="158"/>
      <c r="F102" s="179">
        <f>((E37*E29*O133)-(0.5*O129*(2*D102)))/M140</f>
        <v>14.858367110799918</v>
      </c>
      <c r="G102" s="180"/>
      <c r="H102" s="5"/>
      <c r="I102" s="5"/>
      <c r="J102" s="175"/>
      <c r="K102" s="176"/>
      <c r="L102" s="157">
        <v>5</v>
      </c>
      <c r="M102" s="158"/>
      <c r="N102" s="179">
        <f>((E37*E29*O133)-(0.5*O129*(2*L102)))/M141</f>
        <v>21.226238729714169</v>
      </c>
      <c r="O102" s="180"/>
      <c r="P102" s="97"/>
    </row>
    <row r="103" spans="1:16" hidden="1" x14ac:dyDescent="0.2">
      <c r="A103" s="96"/>
      <c r="B103" s="175"/>
      <c r="C103" s="176"/>
      <c r="D103" s="157">
        <v>10</v>
      </c>
      <c r="E103" s="158"/>
      <c r="F103" s="179">
        <f>((E37*E29*O133)-(0.5*O129*(2*D103)))/M140</f>
        <v>-0.9114008124133528</v>
      </c>
      <c r="G103" s="180"/>
      <c r="H103" s="5"/>
      <c r="I103" s="5"/>
      <c r="J103" s="175"/>
      <c r="K103" s="176"/>
      <c r="L103" s="157">
        <v>10</v>
      </c>
      <c r="M103" s="158"/>
      <c r="N103" s="179">
        <f>((E37*E29*O133)-(0.5*O129*(2*L103)))/M141</f>
        <v>-1.302001160590504</v>
      </c>
      <c r="O103" s="180"/>
      <c r="P103" s="97"/>
    </row>
    <row r="104" spans="1:16" hidden="1" x14ac:dyDescent="0.2">
      <c r="A104" s="96"/>
      <c r="B104" s="175"/>
      <c r="C104" s="176"/>
      <c r="D104" s="157">
        <v>15</v>
      </c>
      <c r="E104" s="158"/>
      <c r="F104" s="179">
        <f>((E37*E29*O133)-(0.5*O129*(2*D104)))/M140</f>
        <v>-16.681168735626617</v>
      </c>
      <c r="G104" s="180"/>
      <c r="H104" s="5"/>
      <c r="I104" s="5"/>
      <c r="J104" s="175"/>
      <c r="K104" s="176"/>
      <c r="L104" s="157">
        <v>15</v>
      </c>
      <c r="M104" s="158"/>
      <c r="N104" s="179">
        <f>((E37*E29*O133)-(0.5*O129*(2*L104)))/M141</f>
        <v>-23.830241050895168</v>
      </c>
      <c r="O104" s="180"/>
      <c r="P104" s="97"/>
    </row>
    <row r="105" spans="1:16" hidden="1" x14ac:dyDescent="0.2">
      <c r="A105" s="96"/>
      <c r="B105" s="177"/>
      <c r="C105" s="178"/>
      <c r="D105" s="157">
        <v>20</v>
      </c>
      <c r="E105" s="158"/>
      <c r="F105" s="179">
        <f>((E37*E29*O133)-(0.5*O129*D105))/M140</f>
        <v>-0.9114008124133528</v>
      </c>
      <c r="G105" s="180"/>
      <c r="H105" s="5"/>
      <c r="I105" s="5"/>
      <c r="J105" s="177"/>
      <c r="K105" s="178"/>
      <c r="L105" s="157">
        <v>20</v>
      </c>
      <c r="M105" s="158"/>
      <c r="N105" s="179">
        <f>((E37*E29*O133)-(0.5*O129*(2*L105)))/M141</f>
        <v>-46.358480941199851</v>
      </c>
      <c r="O105" s="180"/>
      <c r="P105" s="97"/>
    </row>
    <row r="106" spans="1:16" hidden="1" x14ac:dyDescent="0.2">
      <c r="A106" s="96"/>
      <c r="B106" s="143"/>
      <c r="C106" s="156"/>
      <c r="D106" s="156"/>
      <c r="E106" s="156"/>
      <c r="F106" s="156"/>
      <c r="G106" s="144"/>
      <c r="H106" s="5"/>
      <c r="I106" s="5"/>
      <c r="J106" s="143"/>
      <c r="K106" s="156"/>
      <c r="L106" s="156"/>
      <c r="M106" s="156"/>
      <c r="N106" s="156"/>
      <c r="O106" s="144"/>
      <c r="P106" s="97"/>
    </row>
    <row r="107" spans="1:16" hidden="1" x14ac:dyDescent="0.2">
      <c r="A107" s="96"/>
      <c r="B107" s="173" t="s">
        <v>74</v>
      </c>
      <c r="C107" s="174"/>
      <c r="D107" s="157">
        <v>1</v>
      </c>
      <c r="E107" s="158"/>
      <c r="F107" s="179">
        <f>((E37*E29*P133)-(0.5*P129*(2*D107)))/M140</f>
        <v>40.175197114974765</v>
      </c>
      <c r="G107" s="180"/>
      <c r="H107" s="5"/>
      <c r="I107" s="5"/>
      <c r="J107" s="173" t="s">
        <v>74</v>
      </c>
      <c r="K107" s="174"/>
      <c r="L107" s="157">
        <v>1</v>
      </c>
      <c r="M107" s="158"/>
      <c r="N107" s="179">
        <f>((E37*E29*P133)-(0.5*P129*(2*L107)))/M141</f>
        <v>57.393138735678235</v>
      </c>
      <c r="O107" s="180"/>
      <c r="P107" s="97"/>
    </row>
    <row r="108" spans="1:16" hidden="1" x14ac:dyDescent="0.2">
      <c r="A108" s="96"/>
      <c r="B108" s="175"/>
      <c r="C108" s="176"/>
      <c r="D108" s="157">
        <v>5</v>
      </c>
      <c r="E108" s="158"/>
      <c r="F108" s="179">
        <f>((E37*E29*P133)-(0.5*P129*(2*D108)))/M140</f>
        <v>27.559382776404153</v>
      </c>
      <c r="G108" s="180"/>
      <c r="H108" s="5"/>
      <c r="I108" s="5"/>
      <c r="J108" s="175"/>
      <c r="K108" s="176"/>
      <c r="L108" s="157">
        <v>5</v>
      </c>
      <c r="M108" s="158"/>
      <c r="N108" s="179">
        <f>((E37*E29*P133)-(0.5*P129*(2*L108)))/M141</f>
        <v>39.370546823434502</v>
      </c>
      <c r="O108" s="180"/>
      <c r="P108" s="97"/>
    </row>
    <row r="109" spans="1:16" hidden="1" x14ac:dyDescent="0.2">
      <c r="A109" s="96"/>
      <c r="B109" s="175"/>
      <c r="C109" s="176"/>
      <c r="D109" s="157">
        <v>10</v>
      </c>
      <c r="E109" s="158"/>
      <c r="F109" s="179">
        <f>((E37*E29*P133)-(0.5*P129*(2*D109)))/M140</f>
        <v>11.789614853190882</v>
      </c>
      <c r="G109" s="180"/>
      <c r="H109" s="5"/>
      <c r="I109" s="5"/>
      <c r="J109" s="175"/>
      <c r="K109" s="176"/>
      <c r="L109" s="157">
        <v>10</v>
      </c>
      <c r="M109" s="158"/>
      <c r="N109" s="179">
        <f>((E37*E29*P133)-(0.5*P129*(2*L109)))/M141</f>
        <v>16.84230693312983</v>
      </c>
      <c r="O109" s="180"/>
      <c r="P109" s="97"/>
    </row>
    <row r="110" spans="1:16" hidden="1" x14ac:dyDescent="0.2">
      <c r="A110" s="96"/>
      <c r="B110" s="175"/>
      <c r="C110" s="176"/>
      <c r="D110" s="157">
        <v>15</v>
      </c>
      <c r="E110" s="158"/>
      <c r="F110" s="179">
        <f>((E37*E29*P133)-(0.5*P129*(2*D110)))/M140</f>
        <v>-3.9801530700223826</v>
      </c>
      <c r="G110" s="180"/>
      <c r="H110" s="5"/>
      <c r="I110" s="5"/>
      <c r="J110" s="175"/>
      <c r="K110" s="176"/>
      <c r="L110" s="157">
        <v>15</v>
      </c>
      <c r="M110" s="158"/>
      <c r="N110" s="179">
        <f>((E37*E29*P133)-(0.5*P129*(2*L110)))/M141</f>
        <v>-5.685932957174832</v>
      </c>
      <c r="O110" s="180"/>
      <c r="P110" s="97"/>
    </row>
    <row r="111" spans="1:16" hidden="1" x14ac:dyDescent="0.2">
      <c r="A111" s="96"/>
      <c r="B111" s="177"/>
      <c r="C111" s="178"/>
      <c r="D111" s="157">
        <v>20</v>
      </c>
      <c r="E111" s="158"/>
      <c r="F111" s="179">
        <f>((E37*E29*P133)-(0.5*P129*(2*D111)))/M140</f>
        <v>-19.749920993235659</v>
      </c>
      <c r="G111" s="180"/>
      <c r="H111" s="5"/>
      <c r="I111" s="5"/>
      <c r="J111" s="177"/>
      <c r="K111" s="178"/>
      <c r="L111" s="157">
        <v>20</v>
      </c>
      <c r="M111" s="158"/>
      <c r="N111" s="179">
        <f>((E37*E29*P133)-(0.5*P129*(2*L111)))/M141</f>
        <v>-28.214172847479514</v>
      </c>
      <c r="O111" s="180"/>
      <c r="P111" s="97"/>
    </row>
    <row r="112" spans="1:16" hidden="1" x14ac:dyDescent="0.2">
      <c r="A112" s="96"/>
      <c r="B112" s="143"/>
      <c r="C112" s="156"/>
      <c r="D112" s="156"/>
      <c r="E112" s="156"/>
      <c r="F112" s="156"/>
      <c r="G112" s="144"/>
      <c r="H112" s="5"/>
      <c r="I112" s="5"/>
      <c r="J112" s="143"/>
      <c r="K112" s="156"/>
      <c r="L112" s="156"/>
      <c r="M112" s="156"/>
      <c r="N112" s="156"/>
      <c r="O112" s="144"/>
      <c r="P112" s="97"/>
    </row>
    <row r="113" spans="1:18" hidden="1" x14ac:dyDescent="0.2">
      <c r="A113" s="96"/>
      <c r="B113" s="173" t="s">
        <v>75</v>
      </c>
      <c r="C113" s="174"/>
      <c r="D113" s="157">
        <v>1</v>
      </c>
      <c r="E113" s="158"/>
      <c r="F113" s="179">
        <f>((E37*E29*Q133)-(0.5*Q129*D113))/N140</f>
        <v>30.222145243313928</v>
      </c>
      <c r="G113" s="180"/>
      <c r="H113" s="5"/>
      <c r="I113" s="5"/>
      <c r="J113" s="173" t="s">
        <v>75</v>
      </c>
      <c r="K113" s="174"/>
      <c r="L113" s="157">
        <v>1</v>
      </c>
      <c r="M113" s="158"/>
      <c r="N113" s="179">
        <f>((E37*E29*Q133)-(0.5*Q129*L113))/N141</f>
        <v>43.17449320473419</v>
      </c>
      <c r="O113" s="180"/>
      <c r="P113" s="97"/>
    </row>
    <row r="114" spans="1:18" hidden="1" x14ac:dyDescent="0.2">
      <c r="A114" s="96"/>
      <c r="B114" s="175"/>
      <c r="C114" s="176"/>
      <c r="D114" s="157">
        <v>5</v>
      </c>
      <c r="E114" s="158"/>
      <c r="F114" s="179">
        <f>((E37*E29*Q133)-(0.5*Q129*D114))/N140</f>
        <v>23.813949428828533</v>
      </c>
      <c r="G114" s="180"/>
      <c r="H114" s="5"/>
      <c r="I114" s="5"/>
      <c r="J114" s="175"/>
      <c r="K114" s="176"/>
      <c r="L114" s="157">
        <v>5</v>
      </c>
      <c r="M114" s="158"/>
      <c r="N114" s="179">
        <f>((E37*E29*Q133)-(0.5*Q129*L114))/N141</f>
        <v>34.01992775546934</v>
      </c>
      <c r="O114" s="180"/>
      <c r="P114" s="97"/>
    </row>
    <row r="115" spans="1:18" hidden="1" x14ac:dyDescent="0.2">
      <c r="A115" s="96"/>
      <c r="B115" s="175"/>
      <c r="C115" s="176"/>
      <c r="D115" s="157">
        <v>10</v>
      </c>
      <c r="E115" s="158"/>
      <c r="F115" s="179">
        <f>((E37*E29*Q133)-(0.5*Q129*D115))/N140</f>
        <v>15.803704660721786</v>
      </c>
      <c r="G115" s="180"/>
      <c r="H115" s="5"/>
      <c r="I115" s="5"/>
      <c r="J115" s="175"/>
      <c r="K115" s="176"/>
      <c r="L115" s="157">
        <v>10</v>
      </c>
      <c r="M115" s="158"/>
      <c r="N115" s="179">
        <f>((E37*E29*Q133)-(0.5*Q129*L115))/N141</f>
        <v>22.576720943888269</v>
      </c>
      <c r="O115" s="180"/>
      <c r="P115" s="97"/>
    </row>
    <row r="116" spans="1:18" hidden="1" x14ac:dyDescent="0.2">
      <c r="A116" s="96"/>
      <c r="B116" s="175"/>
      <c r="C116" s="176"/>
      <c r="D116" s="157">
        <v>15</v>
      </c>
      <c r="E116" s="158"/>
      <c r="F116" s="179">
        <f>((E37*E29*Q133)-(0.5*Q129*D116))/N140</f>
        <v>7.79345989261504</v>
      </c>
      <c r="G116" s="180"/>
      <c r="H116" s="5"/>
      <c r="I116" s="5"/>
      <c r="J116" s="175"/>
      <c r="K116" s="176"/>
      <c r="L116" s="157">
        <v>15</v>
      </c>
      <c r="M116" s="158"/>
      <c r="N116" s="179">
        <f>((E37*E29*Q133)-(0.5*Q129*L116))/N141</f>
        <v>11.133514132307202</v>
      </c>
      <c r="O116" s="180"/>
      <c r="P116" s="97"/>
    </row>
    <row r="117" spans="1:18" hidden="1" x14ac:dyDescent="0.2">
      <c r="A117" s="96"/>
      <c r="B117" s="177"/>
      <c r="C117" s="178"/>
      <c r="D117" s="157">
        <v>20</v>
      </c>
      <c r="E117" s="158"/>
      <c r="F117" s="179">
        <f>((E37*E29*Q133)-(0.5*Q129*D117))/N140</f>
        <v>-0.21678487549170844</v>
      </c>
      <c r="G117" s="180"/>
      <c r="H117" s="5"/>
      <c r="I117" s="5"/>
      <c r="J117" s="177"/>
      <c r="K117" s="178"/>
      <c r="L117" s="157">
        <v>20</v>
      </c>
      <c r="M117" s="158"/>
      <c r="N117" s="179">
        <f>((E37*E29*Q133)-(0.5*Q129*L117))/N141</f>
        <v>-0.30969267927386929</v>
      </c>
      <c r="O117" s="180"/>
      <c r="P117" s="97"/>
    </row>
    <row r="118" spans="1:18" hidden="1" x14ac:dyDescent="0.2">
      <c r="A118" s="96"/>
      <c r="B118" s="147"/>
      <c r="C118" s="155"/>
      <c r="D118" s="155"/>
      <c r="E118" s="155"/>
      <c r="F118" s="155"/>
      <c r="G118" s="148"/>
      <c r="H118" s="5"/>
      <c r="I118" s="5"/>
      <c r="J118" s="147"/>
      <c r="K118" s="155"/>
      <c r="L118" s="155"/>
      <c r="M118" s="155"/>
      <c r="N118" s="155"/>
      <c r="O118" s="148"/>
      <c r="P118" s="97"/>
    </row>
    <row r="119" spans="1:18" hidden="1" x14ac:dyDescent="0.2">
      <c r="A119" s="96"/>
      <c r="B119" s="173" t="s">
        <v>76</v>
      </c>
      <c r="C119" s="174"/>
      <c r="D119" s="157">
        <v>1</v>
      </c>
      <c r="E119" s="158"/>
      <c r="F119" s="179">
        <f>((E37*E29*R133)-(0.5*R129*D119))/N140</f>
        <v>53.694814793538846</v>
      </c>
      <c r="G119" s="180"/>
      <c r="H119" s="5"/>
      <c r="I119" s="5"/>
      <c r="J119" s="173" t="s">
        <v>76</v>
      </c>
      <c r="K119" s="174"/>
      <c r="L119" s="157">
        <v>1</v>
      </c>
      <c r="M119" s="158"/>
      <c r="N119" s="179">
        <f>((E37*E29*R133)-(0.5*R129*L119))/N141</f>
        <v>76.706878276484076</v>
      </c>
      <c r="O119" s="180"/>
      <c r="P119" s="97"/>
    </row>
    <row r="120" spans="1:18" hidden="1" x14ac:dyDescent="0.2">
      <c r="A120" s="96"/>
      <c r="B120" s="175"/>
      <c r="C120" s="176"/>
      <c r="D120" s="157">
        <v>5</v>
      </c>
      <c r="E120" s="158"/>
      <c r="F120" s="179">
        <f>((E37*E29*R133)-(0.5*R129*D120))/N140</f>
        <v>47.286618979053451</v>
      </c>
      <c r="G120" s="180"/>
      <c r="H120" s="5"/>
      <c r="I120" s="5"/>
      <c r="J120" s="175"/>
      <c r="K120" s="176"/>
      <c r="L120" s="157">
        <v>5</v>
      </c>
      <c r="M120" s="158"/>
      <c r="N120" s="179">
        <f>((E37*E29*R133)-(0.5*R129*L120))/N141</f>
        <v>67.552312827219225</v>
      </c>
      <c r="O120" s="180"/>
      <c r="P120" s="97"/>
    </row>
    <row r="121" spans="1:18" hidden="1" x14ac:dyDescent="0.2">
      <c r="A121" s="96"/>
      <c r="B121" s="175"/>
      <c r="C121" s="176"/>
      <c r="D121" s="157">
        <v>10</v>
      </c>
      <c r="E121" s="158"/>
      <c r="F121" s="179">
        <f>((E37*E29*R133)-(0.5*R129*D121))/N140</f>
        <v>39.276374210946699</v>
      </c>
      <c r="G121" s="180"/>
      <c r="H121" s="5"/>
      <c r="I121" s="5"/>
      <c r="J121" s="175"/>
      <c r="K121" s="176"/>
      <c r="L121" s="157">
        <v>10</v>
      </c>
      <c r="M121" s="158"/>
      <c r="N121" s="179">
        <f>((E37*E29*R133)-(0.5*R129*L121))/N141</f>
        <v>56.109106015638154</v>
      </c>
      <c r="O121" s="180"/>
      <c r="P121" s="97"/>
    </row>
    <row r="122" spans="1:18" hidden="1" x14ac:dyDescent="0.2">
      <c r="A122" s="96"/>
      <c r="B122" s="175"/>
      <c r="C122" s="176"/>
      <c r="D122" s="157">
        <v>15</v>
      </c>
      <c r="E122" s="158"/>
      <c r="F122" s="179">
        <f>((E37*E29*R133)-(0.5*R129*D122))/N140</f>
        <v>31.266129442839958</v>
      </c>
      <c r="G122" s="180"/>
      <c r="H122" s="5"/>
      <c r="I122" s="5"/>
      <c r="J122" s="175"/>
      <c r="K122" s="176"/>
      <c r="L122" s="157">
        <v>15</v>
      </c>
      <c r="M122" s="158"/>
      <c r="N122" s="179">
        <f>((E37*E29*R133)-(0.5*R129*L122))/N141</f>
        <v>44.665899204057091</v>
      </c>
      <c r="O122" s="180"/>
      <c r="P122" s="97"/>
    </row>
    <row r="123" spans="1:18" hidden="1" x14ac:dyDescent="0.2">
      <c r="A123" s="96"/>
      <c r="B123" s="177"/>
      <c r="C123" s="178"/>
      <c r="D123" s="157">
        <v>20</v>
      </c>
      <c r="E123" s="158"/>
      <c r="F123" s="179">
        <f>((E37*E29*R133)-(0.5*R129*D123))/N140</f>
        <v>23.25588467473321</v>
      </c>
      <c r="G123" s="180"/>
      <c r="H123" s="5"/>
      <c r="I123" s="5"/>
      <c r="J123" s="177"/>
      <c r="K123" s="178"/>
      <c r="L123" s="157">
        <v>20</v>
      </c>
      <c r="M123" s="158"/>
      <c r="N123" s="179">
        <f>((E37*E29*R133)-(0.5*R129*L123))/N141</f>
        <v>33.22269239247602</v>
      </c>
      <c r="O123" s="180"/>
      <c r="P123" s="97"/>
    </row>
    <row r="124" spans="1:18" ht="13.5" hidden="1" thickBot="1" x14ac:dyDescent="0.25">
      <c r="A124" s="99"/>
      <c r="B124" s="85"/>
      <c r="C124" s="17"/>
      <c r="D124" s="17"/>
      <c r="E124" s="17"/>
      <c r="F124" s="17"/>
      <c r="G124" s="17"/>
      <c r="H124" s="17"/>
      <c r="I124" s="17"/>
      <c r="J124" s="17"/>
      <c r="K124" s="17"/>
      <c r="L124" s="17"/>
      <c r="M124" s="17"/>
      <c r="N124" s="17"/>
      <c r="O124" s="85"/>
      <c r="P124" s="111"/>
    </row>
    <row r="125" spans="1:18" hidden="1" x14ac:dyDescent="0.2"/>
    <row r="126" spans="1:18" hidden="1" x14ac:dyDescent="0.2">
      <c r="B126" s="149" t="s">
        <v>134</v>
      </c>
      <c r="C126" s="150"/>
      <c r="D126" s="150"/>
      <c r="E126" s="150"/>
      <c r="F126" s="150"/>
      <c r="G126" s="151"/>
      <c r="I126" s="149" t="s">
        <v>135</v>
      </c>
      <c r="J126" s="150"/>
      <c r="K126" s="150"/>
      <c r="L126" s="150"/>
      <c r="M126" s="150"/>
      <c r="N126" s="150"/>
      <c r="O126" s="150"/>
      <c r="P126" s="150"/>
      <c r="Q126" s="150"/>
      <c r="R126" s="151"/>
    </row>
    <row r="127" spans="1:18" hidden="1" x14ac:dyDescent="0.2">
      <c r="B127" s="67" t="s">
        <v>53</v>
      </c>
      <c r="C127" s="10"/>
      <c r="D127" s="10"/>
      <c r="E127" s="10"/>
      <c r="F127" s="10"/>
      <c r="G127" s="25"/>
      <c r="I127" s="80"/>
      <c r="J127" s="63"/>
      <c r="K127" s="5"/>
      <c r="L127" s="5"/>
      <c r="M127" s="5"/>
      <c r="N127" s="5"/>
      <c r="O127" s="10"/>
      <c r="P127" s="10"/>
      <c r="Q127" s="10"/>
      <c r="R127" s="25"/>
    </row>
    <row r="128" spans="1:18" hidden="1" x14ac:dyDescent="0.2">
      <c r="B128" s="24" t="s">
        <v>71</v>
      </c>
      <c r="C128" s="68">
        <f>C168*C156+C149*C157</f>
        <v>142.57230816881932</v>
      </c>
      <c r="D128" s="68">
        <f>D168*D156+D149*D157</f>
        <v>187.63874375501206</v>
      </c>
      <c r="E128" s="68">
        <f>E168*E156+E149*E157</f>
        <v>235.77035970276572</v>
      </c>
      <c r="F128" s="68">
        <f>F168*F156+F149*F157</f>
        <v>284.15050378794319</v>
      </c>
      <c r="G128" s="69">
        <f>G168*G156+G149*G157</f>
        <v>386.87546725647076</v>
      </c>
      <c r="I128" s="24" t="s">
        <v>89</v>
      </c>
      <c r="J128" s="14"/>
      <c r="K128" s="14"/>
      <c r="L128" s="14"/>
      <c r="M128" s="14"/>
      <c r="N128" s="14"/>
      <c r="O128" s="10"/>
      <c r="P128" s="10"/>
      <c r="Q128" s="10"/>
      <c r="R128" s="25"/>
    </row>
    <row r="129" spans="2:18" hidden="1" x14ac:dyDescent="0.2">
      <c r="B129" s="24" t="s">
        <v>125</v>
      </c>
      <c r="C129" s="68">
        <f>C128*0.7</f>
        <v>99.800615718173518</v>
      </c>
      <c r="D129" s="68">
        <f>D128*0.7</f>
        <v>131.34712062850843</v>
      </c>
      <c r="E129" s="68">
        <f>E128*0.7</f>
        <v>165.03925179193598</v>
      </c>
      <c r="F129" s="68">
        <f>F128*0.7</f>
        <v>198.90535265156024</v>
      </c>
      <c r="G129" s="69">
        <f>G128*0.7</f>
        <v>270.81282707952948</v>
      </c>
      <c r="I129" s="24" t="s">
        <v>90</v>
      </c>
      <c r="J129" s="33">
        <f>C166*J130*J132</f>
        <v>437.93189999999976</v>
      </c>
      <c r="K129" s="33">
        <f>D166*K130*K132</f>
        <v>580.92187499999966</v>
      </c>
      <c r="L129" s="33">
        <f>D166*L130*L132</f>
        <v>580.92187499999966</v>
      </c>
      <c r="M129" s="33">
        <f>E166*M130*M132</f>
        <v>739.55227499999944</v>
      </c>
      <c r="N129" s="33">
        <f>E166*N130*N132</f>
        <v>739.55227499999944</v>
      </c>
      <c r="O129" s="33">
        <f>F166*O130*O132</f>
        <v>896.19749999999942</v>
      </c>
      <c r="P129" s="33">
        <f>F166*P130*P132</f>
        <v>896.19749999999942</v>
      </c>
      <c r="Q129" s="33">
        <f>G166*Q130*Q132</f>
        <v>1239.5868749999993</v>
      </c>
      <c r="R129" s="35">
        <f>G166*R130*R132</f>
        <v>1239.5868749999993</v>
      </c>
    </row>
    <row r="130" spans="2:18" hidden="1" x14ac:dyDescent="0.2">
      <c r="B130" s="24" t="s">
        <v>27</v>
      </c>
      <c r="C130" s="68">
        <f>C165*C154*C159+(2*C163*C160)</f>
        <v>888.2999999999995</v>
      </c>
      <c r="D130" s="68">
        <f>D165*D154*D159+(2*D163*D160)</f>
        <v>911.24999999999943</v>
      </c>
      <c r="E130" s="68">
        <f>E165*E154*E159+(2*E163*E160)</f>
        <v>935.54999999999939</v>
      </c>
      <c r="F130" s="68">
        <f>F165*F154*F159+(2*F163*F160)</f>
        <v>958.49999999999943</v>
      </c>
      <c r="G130" s="69">
        <f>G165*G154*G159+(2*G163*G160)</f>
        <v>1005.7499999999994</v>
      </c>
      <c r="I130" s="81" t="s">
        <v>27</v>
      </c>
      <c r="J130" s="5">
        <f>C165*C154*C159+(2*C163*C160)</f>
        <v>888.2999999999995</v>
      </c>
      <c r="K130" s="5">
        <f>D165*D154*D159+(2*D163*D160)</f>
        <v>911.24999999999943</v>
      </c>
      <c r="L130" s="5">
        <f>D165*D154*D159+(2*D163*D160)</f>
        <v>911.24999999999943</v>
      </c>
      <c r="M130" s="5">
        <f>E165*E154*E159+(2*E163*E160)</f>
        <v>935.54999999999939</v>
      </c>
      <c r="N130" s="5">
        <f>E165*E154*E159+(2*E163*E160)</f>
        <v>935.54999999999939</v>
      </c>
      <c r="O130" s="5">
        <f>F165*F154*F159+(2*F163*F160)</f>
        <v>958.49999999999943</v>
      </c>
      <c r="P130" s="5">
        <f>F165*F154*F159+(2*F163*F160)</f>
        <v>958.49999999999943</v>
      </c>
      <c r="Q130" s="5">
        <f>G165*G154*G159+(2*G163*G160)</f>
        <v>1005.7499999999994</v>
      </c>
      <c r="R130" s="23">
        <f>G165*G154*G159+(2*G163*G160)</f>
        <v>1005.7499999999994</v>
      </c>
    </row>
    <row r="131" spans="2:18" hidden="1" x14ac:dyDescent="0.2">
      <c r="B131" s="24" t="s">
        <v>90</v>
      </c>
      <c r="C131" s="68">
        <f>C130*C166*C155</f>
        <v>437.93189999999976</v>
      </c>
      <c r="D131" s="68">
        <f>D130*D166*D155</f>
        <v>580.92187499999966</v>
      </c>
      <c r="E131" s="68">
        <f>E130*E166*E155</f>
        <v>739.55227499999944</v>
      </c>
      <c r="F131" s="68">
        <f>F130*F166*F155</f>
        <v>896.19749999999942</v>
      </c>
      <c r="G131" s="69">
        <f>G130*G166*G155</f>
        <v>1239.5868749999993</v>
      </c>
      <c r="I131" s="24" t="s">
        <v>88</v>
      </c>
      <c r="J131" s="61">
        <f>J140</f>
        <v>142.57230816881932</v>
      </c>
      <c r="K131" s="61">
        <f>J140</f>
        <v>142.57230816881932</v>
      </c>
      <c r="L131" s="61">
        <f>K140</f>
        <v>187.63874375501206</v>
      </c>
      <c r="M131" s="61">
        <f>K140</f>
        <v>187.63874375501206</v>
      </c>
      <c r="N131" s="61">
        <f>L140</f>
        <v>235.77035970276572</v>
      </c>
      <c r="O131" s="61">
        <f>L140</f>
        <v>235.77035970276572</v>
      </c>
      <c r="P131" s="61">
        <f>M140</f>
        <v>284.15050378794319</v>
      </c>
      <c r="Q131" s="61">
        <f>M140</f>
        <v>284.15050378794319</v>
      </c>
      <c r="R131" s="72">
        <f>N140</f>
        <v>386.87546725647076</v>
      </c>
    </row>
    <row r="132" spans="2:18" hidden="1" x14ac:dyDescent="0.2">
      <c r="B132" s="24"/>
      <c r="C132" s="68"/>
      <c r="D132" s="68"/>
      <c r="E132" s="68"/>
      <c r="F132" s="68"/>
      <c r="G132" s="69"/>
      <c r="I132" s="24" t="s">
        <v>87</v>
      </c>
      <c r="J132" s="82">
        <f>C155</f>
        <v>0.57999999999999996</v>
      </c>
      <c r="K132" s="82">
        <f>D155</f>
        <v>0.75</v>
      </c>
      <c r="L132" s="82">
        <f>D155</f>
        <v>0.75</v>
      </c>
      <c r="M132" s="82">
        <f>E155</f>
        <v>0.93</v>
      </c>
      <c r="N132" s="82">
        <f>E155</f>
        <v>0.93</v>
      </c>
      <c r="O132" s="82">
        <f>F155</f>
        <v>1.1000000000000001</v>
      </c>
      <c r="P132" s="37">
        <f>F155</f>
        <v>1.1000000000000001</v>
      </c>
      <c r="Q132" s="82">
        <f>G155</f>
        <v>1.45</v>
      </c>
      <c r="R132" s="83">
        <f>G155</f>
        <v>1.45</v>
      </c>
    </row>
    <row r="133" spans="2:18" ht="15.75" hidden="1" x14ac:dyDescent="0.3">
      <c r="B133" s="67" t="s">
        <v>60</v>
      </c>
      <c r="C133" s="68"/>
      <c r="D133" s="68"/>
      <c r="E133" s="68"/>
      <c r="F133" s="68"/>
      <c r="G133" s="69"/>
      <c r="I133" s="24" t="s">
        <v>86</v>
      </c>
      <c r="J133" s="33">
        <v>37.299999999999997</v>
      </c>
      <c r="K133" s="33">
        <v>37.299999999999997</v>
      </c>
      <c r="L133" s="5">
        <v>64.3</v>
      </c>
      <c r="M133" s="5">
        <v>64.3</v>
      </c>
      <c r="N133" s="5">
        <v>96.7</v>
      </c>
      <c r="O133" s="5">
        <v>96.7</v>
      </c>
      <c r="P133" s="5">
        <v>136.80000000000001</v>
      </c>
      <c r="Q133" s="5">
        <v>136.80000000000001</v>
      </c>
      <c r="R133" s="23">
        <v>237.7</v>
      </c>
    </row>
    <row r="134" spans="2:18" hidden="1" x14ac:dyDescent="0.2">
      <c r="B134" s="24" t="s">
        <v>71</v>
      </c>
      <c r="C134" s="68">
        <f>C128</f>
        <v>142.57230816881932</v>
      </c>
      <c r="D134" s="68">
        <f>D128</f>
        <v>187.63874375501206</v>
      </c>
      <c r="E134" s="68">
        <f>E128</f>
        <v>235.77035970276572</v>
      </c>
      <c r="F134" s="68">
        <f>F128</f>
        <v>284.15050378794319</v>
      </c>
      <c r="G134" s="69">
        <f>G128</f>
        <v>386.87546725647076</v>
      </c>
      <c r="I134" s="24" t="s">
        <v>91</v>
      </c>
      <c r="J134" s="6" t="s">
        <v>77</v>
      </c>
      <c r="K134" s="6" t="s">
        <v>72</v>
      </c>
      <c r="L134" s="6" t="s">
        <v>73</v>
      </c>
      <c r="M134" s="6" t="s">
        <v>82</v>
      </c>
      <c r="N134" s="6" t="s">
        <v>83</v>
      </c>
      <c r="O134" s="6" t="s">
        <v>84</v>
      </c>
      <c r="P134" s="6" t="s">
        <v>74</v>
      </c>
      <c r="Q134" s="6" t="s">
        <v>75</v>
      </c>
      <c r="R134" s="84" t="s">
        <v>76</v>
      </c>
    </row>
    <row r="135" spans="2:18" hidden="1" x14ac:dyDescent="0.2">
      <c r="B135" s="24" t="s">
        <v>125</v>
      </c>
      <c r="C135" s="68">
        <f>C134*0.7</f>
        <v>99.800615718173518</v>
      </c>
      <c r="D135" s="68">
        <f>D134*0.7</f>
        <v>131.34712062850843</v>
      </c>
      <c r="E135" s="68">
        <f>E134*0.7</f>
        <v>165.03925179193598</v>
      </c>
      <c r="F135" s="68">
        <f>F134*0.7</f>
        <v>198.90535265156024</v>
      </c>
      <c r="G135" s="69">
        <f>G134*0.7</f>
        <v>270.81282707952948</v>
      </c>
      <c r="I135" s="24"/>
      <c r="J135" s="10"/>
      <c r="K135" s="10"/>
      <c r="L135" s="10"/>
      <c r="M135" s="10"/>
      <c r="N135" s="10"/>
      <c r="O135" s="10"/>
      <c r="P135" s="10"/>
      <c r="Q135" s="10"/>
      <c r="R135" s="25"/>
    </row>
    <row r="136" spans="2:18" ht="16.5" hidden="1" thickBot="1" x14ac:dyDescent="0.35">
      <c r="B136" s="24" t="s">
        <v>27</v>
      </c>
      <c r="C136" s="68">
        <f>C130</f>
        <v>888.2999999999995</v>
      </c>
      <c r="D136" s="68">
        <f>D130</f>
        <v>911.24999999999943</v>
      </c>
      <c r="E136" s="68">
        <f>E130</f>
        <v>935.54999999999939</v>
      </c>
      <c r="F136" s="68">
        <f>F130</f>
        <v>958.49999999999943</v>
      </c>
      <c r="G136" s="69">
        <f>G130</f>
        <v>1005.7499999999994</v>
      </c>
      <c r="I136" s="57" t="s">
        <v>97</v>
      </c>
      <c r="J136" s="17" t="s">
        <v>85</v>
      </c>
      <c r="K136" s="10"/>
      <c r="L136" s="10"/>
      <c r="M136" s="10"/>
      <c r="N136" s="10"/>
      <c r="O136" s="10"/>
      <c r="P136" s="10"/>
      <c r="Q136" s="10"/>
      <c r="R136" s="25"/>
    </row>
    <row r="137" spans="2:18" ht="15.75" hidden="1" x14ac:dyDescent="0.3">
      <c r="B137" s="24"/>
      <c r="C137" s="68"/>
      <c r="D137" s="68"/>
      <c r="E137" s="68"/>
      <c r="F137" s="68"/>
      <c r="G137" s="69"/>
      <c r="I137" s="57"/>
      <c r="J137" s="5" t="s">
        <v>69</v>
      </c>
      <c r="K137" s="30"/>
      <c r="L137" s="10"/>
      <c r="M137" s="10"/>
      <c r="N137" s="10"/>
      <c r="O137" s="10"/>
      <c r="P137" s="10"/>
      <c r="Q137" s="10"/>
      <c r="R137" s="25"/>
    </row>
    <row r="138" spans="2:18" hidden="1" x14ac:dyDescent="0.2">
      <c r="B138" s="67" t="s">
        <v>61</v>
      </c>
      <c r="C138" s="68"/>
      <c r="D138" s="68"/>
      <c r="E138" s="68"/>
      <c r="F138" s="68"/>
      <c r="G138" s="69"/>
      <c r="I138" s="66"/>
      <c r="J138" s="5"/>
      <c r="K138" s="30"/>
      <c r="L138" s="10"/>
      <c r="M138" s="10"/>
      <c r="N138" s="10"/>
      <c r="O138" s="10"/>
      <c r="P138" s="10"/>
      <c r="Q138" s="10"/>
      <c r="R138" s="25"/>
    </row>
    <row r="139" spans="2:18" hidden="1" x14ac:dyDescent="0.2">
      <c r="B139" s="24" t="s">
        <v>71</v>
      </c>
      <c r="C139" s="70">
        <f>C128</f>
        <v>142.57230816881932</v>
      </c>
      <c r="D139" s="70">
        <f>D128</f>
        <v>187.63874375501206</v>
      </c>
      <c r="E139" s="70">
        <f>E128</f>
        <v>235.77035970276572</v>
      </c>
      <c r="F139" s="70">
        <f>F128</f>
        <v>284.15050378794319</v>
      </c>
      <c r="G139" s="71">
        <f>G128</f>
        <v>386.87546725647076</v>
      </c>
      <c r="I139" s="67" t="s">
        <v>81</v>
      </c>
      <c r="J139" s="70" t="s">
        <v>92</v>
      </c>
      <c r="K139" s="68" t="s">
        <v>93</v>
      </c>
      <c r="L139" s="68" t="s">
        <v>94</v>
      </c>
      <c r="M139" s="68" t="s">
        <v>95</v>
      </c>
      <c r="N139" s="68" t="s">
        <v>96</v>
      </c>
      <c r="O139" s="10"/>
      <c r="P139" s="10"/>
      <c r="Q139" s="10"/>
      <c r="R139" s="25"/>
    </row>
    <row r="140" spans="2:18" hidden="1" x14ac:dyDescent="0.2">
      <c r="B140" s="24" t="s">
        <v>125</v>
      </c>
      <c r="C140" s="70">
        <f>C139*0.7</f>
        <v>99.800615718173518</v>
      </c>
      <c r="D140" s="70">
        <f>D139*0.7</f>
        <v>131.34712062850843</v>
      </c>
      <c r="E140" s="70">
        <f>E139*0.7</f>
        <v>165.03925179193598</v>
      </c>
      <c r="F140" s="70">
        <f>F139*0.7</f>
        <v>198.90535265156024</v>
      </c>
      <c r="G140" s="71">
        <f>G139*0.7</f>
        <v>270.81282707952948</v>
      </c>
      <c r="I140" s="24" t="s">
        <v>71</v>
      </c>
      <c r="J140" s="70">
        <f>(3.14*C155*C156)+C149*TAN(RADIANS(C158))</f>
        <v>142.57230816881932</v>
      </c>
      <c r="K140" s="70">
        <f>(3.14*D155*D156)+D149*TAN(RADIANS(D158))</f>
        <v>187.63874375501206</v>
      </c>
      <c r="L140" s="70">
        <f>(3.14*E155*E156)+E149*TAN(RADIANS(E158))</f>
        <v>235.77035970276572</v>
      </c>
      <c r="M140" s="70">
        <f>(3.14*F155*F156)+F149*TAN(RADIANS(F158))</f>
        <v>284.15050378794319</v>
      </c>
      <c r="N140" s="70">
        <f>(3.14*G155*G156)+G149*TAN(RADIANS(G158))</f>
        <v>386.87546725647076</v>
      </c>
      <c r="O140" s="10"/>
      <c r="P140" s="10"/>
      <c r="Q140" s="10"/>
      <c r="R140" s="25"/>
    </row>
    <row r="141" spans="2:18" hidden="1" x14ac:dyDescent="0.2">
      <c r="B141" s="24" t="s">
        <v>27</v>
      </c>
      <c r="C141" s="70">
        <f>C130</f>
        <v>888.2999999999995</v>
      </c>
      <c r="D141" s="70">
        <f>D130</f>
        <v>911.24999999999943</v>
      </c>
      <c r="E141" s="70">
        <f>E130</f>
        <v>935.54999999999939</v>
      </c>
      <c r="F141" s="70">
        <f>F130</f>
        <v>958.49999999999943</v>
      </c>
      <c r="G141" s="71">
        <f>G130</f>
        <v>1005.7499999999994</v>
      </c>
      <c r="I141" s="77" t="s">
        <v>125</v>
      </c>
      <c r="J141" s="78">
        <f>J140*0.7</f>
        <v>99.800615718173518</v>
      </c>
      <c r="K141" s="78">
        <f>K140*0.7</f>
        <v>131.34712062850843</v>
      </c>
      <c r="L141" s="78">
        <f>L140*0.7</f>
        <v>165.03925179193598</v>
      </c>
      <c r="M141" s="78">
        <f>M140*0.7</f>
        <v>198.90535265156024</v>
      </c>
      <c r="N141" s="78">
        <f>N140*0.7</f>
        <v>270.81282707952948</v>
      </c>
      <c r="O141" s="26"/>
      <c r="P141" s="26"/>
      <c r="Q141" s="26"/>
      <c r="R141" s="27"/>
    </row>
    <row r="142" spans="2:18" hidden="1" x14ac:dyDescent="0.2">
      <c r="B142" s="24" t="s">
        <v>90</v>
      </c>
      <c r="C142" s="70">
        <f>C141*C166*C155</f>
        <v>437.93189999999976</v>
      </c>
      <c r="D142" s="70">
        <f>D141*D166*D155</f>
        <v>580.92187499999966</v>
      </c>
      <c r="E142" s="70">
        <f>E141*E166*E155</f>
        <v>739.55227499999944</v>
      </c>
      <c r="F142" s="70">
        <f>F141*F166*F155</f>
        <v>896.19749999999942</v>
      </c>
      <c r="G142" s="71">
        <f>G141*G166*G155</f>
        <v>1239.5868749999993</v>
      </c>
    </row>
    <row r="143" spans="2:18" hidden="1" x14ac:dyDescent="0.2">
      <c r="B143" s="24"/>
      <c r="C143" s="70"/>
      <c r="D143" s="68"/>
      <c r="E143" s="68"/>
      <c r="F143" s="68"/>
      <c r="G143" s="69"/>
      <c r="P143" s="28"/>
    </row>
    <row r="144" spans="2:18" hidden="1" x14ac:dyDescent="0.2">
      <c r="B144" s="67" t="s">
        <v>67</v>
      </c>
      <c r="C144" s="70"/>
      <c r="D144" s="68"/>
      <c r="E144" s="68"/>
      <c r="F144" s="68"/>
      <c r="G144" s="69"/>
      <c r="P144" s="28"/>
    </row>
    <row r="145" spans="2:19" hidden="1" x14ac:dyDescent="0.2">
      <c r="B145" s="24" t="s">
        <v>71</v>
      </c>
      <c r="C145" s="70">
        <f>C169*C156+C149*C157</f>
        <v>142.57230816881932</v>
      </c>
      <c r="D145" s="70">
        <f>D169*D156+D149*D157</f>
        <v>187.63874375501206</v>
      </c>
      <c r="E145" s="70">
        <f>E169*E156+E149*E157</f>
        <v>235.77035970276572</v>
      </c>
      <c r="F145" s="70">
        <f>F169*F156+F149*F157</f>
        <v>284.15050378794319</v>
      </c>
      <c r="G145" s="71">
        <f>G169*G156+G149*G157</f>
        <v>386.87546725647076</v>
      </c>
    </row>
    <row r="146" spans="2:19" hidden="1" x14ac:dyDescent="0.2">
      <c r="B146" s="77" t="s">
        <v>125</v>
      </c>
      <c r="C146" s="78">
        <f>C145*0.7</f>
        <v>99.800615718173518</v>
      </c>
      <c r="D146" s="78">
        <f>D145*0.7</f>
        <v>131.34712062850843</v>
      </c>
      <c r="E146" s="78">
        <f>E145*0.7</f>
        <v>165.03925179193598</v>
      </c>
      <c r="F146" s="78">
        <f>F145*0.7</f>
        <v>198.90535265156024</v>
      </c>
      <c r="G146" s="79">
        <f>G145*0.7</f>
        <v>270.81282707952948</v>
      </c>
    </row>
    <row r="147" spans="2:19" x14ac:dyDescent="0.2">
      <c r="B147" s="5"/>
      <c r="C147" s="5"/>
      <c r="D147" s="5"/>
      <c r="E147" s="5"/>
      <c r="F147" s="5"/>
      <c r="G147" s="5"/>
      <c r="J147"/>
      <c r="K147" s="28"/>
      <c r="L147" s="19"/>
      <c r="M147" s="19"/>
      <c r="N147" s="19"/>
      <c r="O147" s="19"/>
    </row>
    <row r="148" spans="2:19" x14ac:dyDescent="0.2">
      <c r="B148" s="5"/>
      <c r="C148" s="5" t="s">
        <v>2</v>
      </c>
      <c r="D148" s="5" t="s">
        <v>0</v>
      </c>
      <c r="E148" s="5" t="s">
        <v>4</v>
      </c>
      <c r="F148" s="5" t="s">
        <v>3</v>
      </c>
      <c r="G148" s="5" t="s">
        <v>1</v>
      </c>
      <c r="J148"/>
      <c r="K148" s="28"/>
      <c r="L148" s="19"/>
      <c r="M148" s="19"/>
      <c r="N148" s="19"/>
      <c r="O148" s="19"/>
    </row>
    <row r="149" spans="2:19" x14ac:dyDescent="0.2">
      <c r="B149" s="5" t="s">
        <v>23</v>
      </c>
      <c r="C149" s="61">
        <f>2*C150+C151+C152</f>
        <v>344.2</v>
      </c>
      <c r="D149" s="61">
        <f>2*D150+D151+D152</f>
        <v>453</v>
      </c>
      <c r="E149" s="61">
        <f>2*E150+E151+E152</f>
        <v>569.20000000000005</v>
      </c>
      <c r="F149" s="61">
        <f>2*F150+F151+F152</f>
        <v>686</v>
      </c>
      <c r="G149" s="61">
        <f>2*G150+G151+G152</f>
        <v>934</v>
      </c>
    </row>
    <row r="150" spans="2:19" x14ac:dyDescent="0.2">
      <c r="B150" s="10" t="s">
        <v>26</v>
      </c>
      <c r="C150" s="58">
        <f>C153*C165*C155</f>
        <v>156.6</v>
      </c>
      <c r="D150" s="68">
        <f>D153*D165*D155</f>
        <v>202.5</v>
      </c>
      <c r="E150" s="68">
        <f>E153*E165*E155</f>
        <v>251.10000000000002</v>
      </c>
      <c r="F150" s="68">
        <f>F153*F165*F155</f>
        <v>297</v>
      </c>
      <c r="G150" s="68">
        <f>G153*G165*G155</f>
        <v>391.5</v>
      </c>
      <c r="I150" s="168" t="s">
        <v>139</v>
      </c>
      <c r="J150" s="168"/>
      <c r="K150" s="29">
        <v>150</v>
      </c>
      <c r="L150" s="19"/>
      <c r="M150" s="19"/>
      <c r="N150" s="19"/>
      <c r="O150" s="19"/>
    </row>
    <row r="151" spans="2:19" x14ac:dyDescent="0.2">
      <c r="B151" s="10" t="s">
        <v>54</v>
      </c>
      <c r="C151" s="58">
        <v>18</v>
      </c>
      <c r="D151" s="68">
        <v>24</v>
      </c>
      <c r="E151" s="68">
        <v>30</v>
      </c>
      <c r="F151" s="68">
        <v>39</v>
      </c>
      <c r="G151" s="68">
        <v>57</v>
      </c>
      <c r="J151"/>
      <c r="K151" s="29"/>
      <c r="L151" s="19"/>
      <c r="M151" s="19"/>
      <c r="N151" s="19"/>
      <c r="O151" s="19"/>
    </row>
    <row r="152" spans="2:19" x14ac:dyDescent="0.2">
      <c r="B152" s="10" t="s">
        <v>55</v>
      </c>
      <c r="C152" s="58">
        <v>13</v>
      </c>
      <c r="D152" s="68">
        <v>24</v>
      </c>
      <c r="E152" s="68">
        <v>37</v>
      </c>
      <c r="F152" s="68">
        <v>53</v>
      </c>
      <c r="G152" s="68">
        <v>94</v>
      </c>
      <c r="J152"/>
      <c r="K152" s="29"/>
      <c r="L152" s="19"/>
      <c r="M152" s="19"/>
      <c r="N152" s="19"/>
      <c r="O152" s="19"/>
    </row>
    <row r="153" spans="2:19" x14ac:dyDescent="0.2">
      <c r="B153" s="10" t="s">
        <v>57</v>
      </c>
      <c r="C153" s="58">
        <f>E31</f>
        <v>3</v>
      </c>
      <c r="D153" s="68">
        <f>E31</f>
        <v>3</v>
      </c>
      <c r="E153" s="68">
        <f>E31</f>
        <v>3</v>
      </c>
      <c r="F153" s="68">
        <f>E31</f>
        <v>3</v>
      </c>
      <c r="G153" s="68">
        <f>E31</f>
        <v>3</v>
      </c>
      <c r="I153" s="153" t="s">
        <v>28</v>
      </c>
      <c r="J153" s="153"/>
      <c r="K153"/>
      <c r="L153"/>
      <c r="M153"/>
      <c r="N153"/>
    </row>
    <row r="154" spans="2:19" ht="15.75" x14ac:dyDescent="0.3">
      <c r="B154" s="10" t="s">
        <v>62</v>
      </c>
      <c r="C154" s="58">
        <f>C153+(0.5*C155)</f>
        <v>3.29</v>
      </c>
      <c r="D154" s="68">
        <f>D153+(0.5*D155)</f>
        <v>3.375</v>
      </c>
      <c r="E154" s="68">
        <f>E153+(0.5*E155)</f>
        <v>3.4649999999999999</v>
      </c>
      <c r="F154" s="68">
        <f>F153+(0.5*F155)</f>
        <v>3.55</v>
      </c>
      <c r="G154" s="68">
        <f>G153+(0.5*G155)</f>
        <v>3.7250000000000001</v>
      </c>
      <c r="I154"/>
      <c r="J154"/>
      <c r="K154"/>
      <c r="L154"/>
      <c r="M154"/>
      <c r="N154"/>
    </row>
    <row r="155" spans="2:19" ht="15.75" x14ac:dyDescent="0.3">
      <c r="B155" s="10" t="s">
        <v>24</v>
      </c>
      <c r="C155" s="58">
        <v>0.57999999999999996</v>
      </c>
      <c r="D155" s="68">
        <v>0.75</v>
      </c>
      <c r="E155" s="68">
        <v>0.93</v>
      </c>
      <c r="F155" s="68">
        <v>1.1000000000000001</v>
      </c>
      <c r="G155" s="68">
        <v>1.45</v>
      </c>
      <c r="I155" s="18" t="s">
        <v>13</v>
      </c>
      <c r="J155" s="154" t="s">
        <v>37</v>
      </c>
      <c r="K155" s="154"/>
      <c r="L155" s="154"/>
      <c r="M155" s="18"/>
      <c r="N155"/>
      <c r="O155" s="7" t="s">
        <v>44</v>
      </c>
      <c r="P155" s="1" t="s">
        <v>45</v>
      </c>
      <c r="Q155" s="1" t="s">
        <v>46</v>
      </c>
      <c r="R155" s="1" t="s">
        <v>47</v>
      </c>
      <c r="S155" s="7" t="s">
        <v>48</v>
      </c>
    </row>
    <row r="156" spans="2:19" x14ac:dyDescent="0.2">
      <c r="B156" s="10" t="s">
        <v>22</v>
      </c>
      <c r="C156" s="58">
        <f>C164*C163</f>
        <v>0</v>
      </c>
      <c r="D156" s="68">
        <f>D164*D163</f>
        <v>0</v>
      </c>
      <c r="E156" s="68">
        <f>E164*E163</f>
        <v>0</v>
      </c>
      <c r="F156" s="68">
        <f>F164*F163</f>
        <v>0</v>
      </c>
      <c r="G156" s="68">
        <f>G164*G163</f>
        <v>0</v>
      </c>
      <c r="I156" t="s">
        <v>29</v>
      </c>
      <c r="J156" s="152" t="str">
        <f>'Soil Characteristics'!$C18</f>
        <v>Clay of Medium to Low Plasticity, LL&lt;50</v>
      </c>
      <c r="K156" s="152"/>
      <c r="L156" s="152"/>
      <c r="M156" s="152"/>
      <c r="N156" s="152"/>
      <c r="O156" s="1">
        <v>0</v>
      </c>
      <c r="P156" s="20">
        <v>0</v>
      </c>
      <c r="Q156" s="20">
        <v>300</v>
      </c>
      <c r="R156" s="20">
        <v>0.8</v>
      </c>
      <c r="S156" s="20">
        <v>90</v>
      </c>
    </row>
    <row r="157" spans="2:19" x14ac:dyDescent="0.2">
      <c r="B157" s="10" t="s">
        <v>58</v>
      </c>
      <c r="C157" s="58">
        <f>TAN(RADIANS(C158))</f>
        <v>0.41421356237309503</v>
      </c>
      <c r="D157" s="61">
        <f>TAN(RADIANS(D158))</f>
        <v>0.41421356237309503</v>
      </c>
      <c r="E157" s="61">
        <f>TAN(RADIANS(E158))</f>
        <v>0.41421356237309503</v>
      </c>
      <c r="F157" s="61">
        <f>TAN(RADIANS(F158))</f>
        <v>0.41421356237309503</v>
      </c>
      <c r="G157" s="61">
        <f>TAN(RADIANS(G158))</f>
        <v>0.41421356237309503</v>
      </c>
      <c r="I157" t="s">
        <v>30</v>
      </c>
      <c r="J157" s="152" t="str">
        <f>'Soil Characteristics'!$C19</f>
        <v>Silt of Medium to Low Plasticity, LL&lt;50</v>
      </c>
      <c r="K157" s="152"/>
      <c r="L157" s="152"/>
      <c r="M157" s="152"/>
      <c r="N157" s="152"/>
      <c r="O157" s="1">
        <v>29</v>
      </c>
      <c r="P157" s="20">
        <v>0.75</v>
      </c>
      <c r="Q157" s="20">
        <v>0</v>
      </c>
      <c r="R157" s="20">
        <v>0</v>
      </c>
      <c r="S157" s="20">
        <v>90</v>
      </c>
    </row>
    <row r="158" spans="2:19" x14ac:dyDescent="0.2">
      <c r="B158" s="75" t="s">
        <v>59</v>
      </c>
      <c r="C158" s="58">
        <f>C162*C161</f>
        <v>22.5</v>
      </c>
      <c r="D158" s="68">
        <f>D162*D161</f>
        <v>22.5</v>
      </c>
      <c r="E158" s="68">
        <f>E162*E161</f>
        <v>22.5</v>
      </c>
      <c r="F158" s="68">
        <f>F162*F161</f>
        <v>22.5</v>
      </c>
      <c r="G158" s="68">
        <f>G162*G161</f>
        <v>22.5</v>
      </c>
      <c r="I158" t="s">
        <v>31</v>
      </c>
      <c r="J158" s="152" t="str">
        <f>'Soil Characteristics'!$C20</f>
        <v>Clay of Medium to Low Plasticity w/Sand or Gravel</v>
      </c>
      <c r="K158" s="152"/>
      <c r="L158" s="152"/>
      <c r="M158" s="152"/>
      <c r="N158" s="152"/>
      <c r="O158" s="1">
        <v>0</v>
      </c>
      <c r="P158" s="20">
        <v>0</v>
      </c>
      <c r="Q158" s="20">
        <v>300</v>
      </c>
      <c r="R158" s="20">
        <v>0.8</v>
      </c>
      <c r="S158" s="20">
        <v>90</v>
      </c>
    </row>
    <row r="159" spans="2:19" ht="15.75" x14ac:dyDescent="0.3">
      <c r="B159" s="76" t="s">
        <v>63</v>
      </c>
      <c r="C159" s="73">
        <f>(TAN(RADIANS(45+C161/2)))^2</f>
        <v>2.9999999999999982</v>
      </c>
      <c r="D159" s="74">
        <f>(TAN(RADIANS(45+D161/2)))^2</f>
        <v>2.9999999999999982</v>
      </c>
      <c r="E159" s="74">
        <f>(TAN(RADIANS(45+E161/2)))^2</f>
        <v>2.9999999999999982</v>
      </c>
      <c r="F159" s="74">
        <f>(TAN(RADIANS(45+F161/2)))^2</f>
        <v>2.9999999999999982</v>
      </c>
      <c r="G159" s="74">
        <f>(TAN(RADIANS(45+G161/2)))^2</f>
        <v>2.9999999999999982</v>
      </c>
      <c r="I159" t="s">
        <v>32</v>
      </c>
      <c r="J159" s="152" t="str">
        <f>'Soil Characteristics'!$C21</f>
        <v>Silt of Medium to Low Plasticity w/Sand or Gravel</v>
      </c>
      <c r="K159" s="152"/>
      <c r="L159" s="152"/>
      <c r="M159" s="152"/>
      <c r="N159" s="152"/>
      <c r="O159" s="1">
        <v>29</v>
      </c>
      <c r="P159" s="20">
        <v>0.75</v>
      </c>
      <c r="Q159" s="20">
        <v>0</v>
      </c>
      <c r="R159" s="20">
        <v>0</v>
      </c>
      <c r="S159" s="20">
        <v>90</v>
      </c>
    </row>
    <row r="160" spans="2:19" ht="15.75" x14ac:dyDescent="0.3">
      <c r="B160" s="75" t="s">
        <v>64</v>
      </c>
      <c r="C160" s="58">
        <f>SQRT(C159)</f>
        <v>1.7320508075688767</v>
      </c>
      <c r="D160" s="68">
        <f>SQRT(D159)</f>
        <v>1.7320508075688767</v>
      </c>
      <c r="E160" s="68">
        <f>SQRT(E159)</f>
        <v>1.7320508075688767</v>
      </c>
      <c r="F160" s="68">
        <f>SQRT(F159)</f>
        <v>1.7320508075688767</v>
      </c>
      <c r="G160" s="68">
        <f>SQRT(G159)</f>
        <v>1.7320508075688767</v>
      </c>
      <c r="I160" t="s">
        <v>33</v>
      </c>
      <c r="J160" s="152" t="str">
        <f>'Soil Characteristics'!$C22</f>
        <v>Cohesive Granular Soils</v>
      </c>
      <c r="K160" s="152"/>
      <c r="L160" s="152"/>
      <c r="M160" s="152"/>
      <c r="N160" s="152"/>
      <c r="O160" s="1">
        <v>20</v>
      </c>
      <c r="P160" s="20">
        <v>0.65</v>
      </c>
      <c r="Q160" s="20">
        <v>200</v>
      </c>
      <c r="R160" s="20">
        <v>0.4</v>
      </c>
      <c r="S160" s="20">
        <v>90</v>
      </c>
    </row>
    <row r="161" spans="1:19" x14ac:dyDescent="0.2">
      <c r="B161" s="76" t="s">
        <v>44</v>
      </c>
      <c r="C161" s="132">
        <f>H33</f>
        <v>30</v>
      </c>
      <c r="D161" s="61">
        <f>H33</f>
        <v>30</v>
      </c>
      <c r="E161" s="61">
        <f>H33</f>
        <v>30</v>
      </c>
      <c r="F161" s="61">
        <f t="shared" ref="F161:F166" si="0">E161</f>
        <v>30</v>
      </c>
      <c r="G161" s="61">
        <f t="shared" ref="G161:G166" si="1">E161</f>
        <v>30</v>
      </c>
      <c r="I161" t="s">
        <v>34</v>
      </c>
      <c r="J161" s="152" t="str">
        <f>'Soil Characteristics'!$C23</f>
        <v>Sand or Gravel w/Silt</v>
      </c>
      <c r="K161" s="152"/>
      <c r="L161" s="152"/>
      <c r="M161" s="152"/>
      <c r="N161" s="152"/>
      <c r="O161" s="131">
        <v>30</v>
      </c>
      <c r="P161" s="133">
        <v>0.75</v>
      </c>
      <c r="Q161" s="135">
        <v>0</v>
      </c>
      <c r="R161" s="137">
        <v>0</v>
      </c>
      <c r="S161" s="139">
        <v>90</v>
      </c>
    </row>
    <row r="162" spans="1:19" ht="15.75" x14ac:dyDescent="0.3">
      <c r="B162" s="22" t="s">
        <v>45</v>
      </c>
      <c r="C162" s="134">
        <f>I33</f>
        <v>0.75</v>
      </c>
      <c r="D162" s="61">
        <f>I33</f>
        <v>0.75</v>
      </c>
      <c r="E162" s="61">
        <f>I33</f>
        <v>0.75</v>
      </c>
      <c r="F162" s="61">
        <f t="shared" si="0"/>
        <v>0.75</v>
      </c>
      <c r="G162" s="61">
        <f t="shared" si="1"/>
        <v>0.75</v>
      </c>
      <c r="I162" t="s">
        <v>35</v>
      </c>
      <c r="J162" s="152" t="str">
        <f>'Soil Characteristics'!$C24</f>
        <v>Clean Sand or Gravel</v>
      </c>
      <c r="K162" s="152"/>
      <c r="L162" s="152"/>
      <c r="M162" s="152"/>
      <c r="N162" s="152"/>
      <c r="O162" s="1">
        <v>36</v>
      </c>
      <c r="P162" s="20">
        <v>0.8</v>
      </c>
      <c r="Q162" s="20">
        <v>0</v>
      </c>
      <c r="R162" s="20">
        <v>0</v>
      </c>
      <c r="S162" s="20">
        <v>100</v>
      </c>
    </row>
    <row r="163" spans="1:19" ht="15.75" x14ac:dyDescent="0.3">
      <c r="B163" s="22" t="s">
        <v>46</v>
      </c>
      <c r="C163" s="136">
        <f>J33</f>
        <v>0</v>
      </c>
      <c r="D163" s="61">
        <f>J33</f>
        <v>0</v>
      </c>
      <c r="E163" s="61">
        <f>J33</f>
        <v>0</v>
      </c>
      <c r="F163" s="61">
        <f t="shared" si="0"/>
        <v>0</v>
      </c>
      <c r="G163" s="61">
        <f t="shared" si="1"/>
        <v>0</v>
      </c>
      <c r="J163" s="8"/>
      <c r="K163" s="29"/>
      <c r="L163" s="20"/>
      <c r="M163" s="20"/>
      <c r="N163"/>
      <c r="O163" s="20"/>
    </row>
    <row r="164" spans="1:19" ht="15.75" x14ac:dyDescent="0.3">
      <c r="B164" s="22" t="s">
        <v>47</v>
      </c>
      <c r="C164" s="138">
        <f>K33</f>
        <v>0</v>
      </c>
      <c r="D164" s="61">
        <f>K33</f>
        <v>0</v>
      </c>
      <c r="E164" s="61">
        <f>K33</f>
        <v>0</v>
      </c>
      <c r="F164" s="61">
        <f t="shared" si="0"/>
        <v>0</v>
      </c>
      <c r="G164" s="61">
        <f t="shared" si="1"/>
        <v>0</v>
      </c>
      <c r="J164" s="8"/>
      <c r="K164" s="29"/>
      <c r="L164" s="20"/>
      <c r="M164" s="20"/>
      <c r="N164"/>
      <c r="O164" s="20"/>
    </row>
    <row r="165" spans="1:19" x14ac:dyDescent="0.2">
      <c r="B165" s="76" t="s">
        <v>48</v>
      </c>
      <c r="C165" s="140">
        <f>L33</f>
        <v>90</v>
      </c>
      <c r="D165" s="58">
        <f>L33</f>
        <v>90</v>
      </c>
      <c r="E165" s="58">
        <f>L33</f>
        <v>90</v>
      </c>
      <c r="F165" s="58">
        <f t="shared" si="0"/>
        <v>90</v>
      </c>
      <c r="G165" s="58">
        <f t="shared" si="1"/>
        <v>90</v>
      </c>
      <c r="J165" s="21"/>
      <c r="K165" s="29"/>
      <c r="L165" s="19"/>
      <c r="M165" s="19"/>
      <c r="N165" s="19"/>
      <c r="O165" s="19"/>
    </row>
    <row r="166" spans="1:19" ht="15.75" x14ac:dyDescent="0.3">
      <c r="B166" s="76" t="s">
        <v>49</v>
      </c>
      <c r="C166" s="58">
        <f>M33</f>
        <v>0.85</v>
      </c>
      <c r="D166" s="68">
        <f>M33</f>
        <v>0.85</v>
      </c>
      <c r="E166" s="68">
        <f>M33</f>
        <v>0.85</v>
      </c>
      <c r="F166" s="68">
        <f t="shared" si="0"/>
        <v>0.85</v>
      </c>
      <c r="G166" s="68">
        <f t="shared" si="1"/>
        <v>0.85</v>
      </c>
      <c r="J166" s="21"/>
      <c r="K166" s="29"/>
      <c r="L166" s="19"/>
      <c r="M166" s="19"/>
      <c r="N166" s="19"/>
      <c r="O166" s="19"/>
    </row>
    <row r="167" spans="1:19" x14ac:dyDescent="0.2">
      <c r="B167" s="118" t="s">
        <v>5</v>
      </c>
      <c r="C167" s="119">
        <v>37.299999999999997</v>
      </c>
      <c r="D167" s="119">
        <v>64.3</v>
      </c>
      <c r="E167" s="119">
        <v>96.7</v>
      </c>
      <c r="F167" s="119">
        <v>136.80000000000001</v>
      </c>
      <c r="G167" s="119">
        <v>237.7</v>
      </c>
      <c r="J167"/>
      <c r="K167" s="11"/>
      <c r="O167" s="1"/>
    </row>
    <row r="168" spans="1:19" x14ac:dyDescent="0.2">
      <c r="B168" s="5" t="s">
        <v>25</v>
      </c>
      <c r="C168" s="5">
        <f>(3.14*C155)/2</f>
        <v>0.91059999999999997</v>
      </c>
      <c r="D168" s="5">
        <f>(3.14*D155)/2</f>
        <v>1.1775</v>
      </c>
      <c r="E168" s="5">
        <f>(3.14*E155)/2</f>
        <v>1.4601000000000002</v>
      </c>
      <c r="F168" s="5">
        <f>(3.14*F155)/2</f>
        <v>1.7270000000000003</v>
      </c>
      <c r="G168" s="5">
        <f>(3.14*G155)/2</f>
        <v>2.2765</v>
      </c>
      <c r="J168" s="21"/>
      <c r="K168" s="11"/>
      <c r="O168" s="1"/>
    </row>
    <row r="169" spans="1:19" x14ac:dyDescent="0.2">
      <c r="B169" s="5" t="s">
        <v>131</v>
      </c>
      <c r="C169" s="5">
        <f>3.14*C155</f>
        <v>1.8211999999999999</v>
      </c>
      <c r="D169" s="5">
        <f>3.14*D155</f>
        <v>2.355</v>
      </c>
      <c r="E169" s="5">
        <f>3.14*E155</f>
        <v>2.9202000000000004</v>
      </c>
      <c r="F169" s="5">
        <f>3.14*F155</f>
        <v>3.4540000000000006</v>
      </c>
      <c r="G169" s="5">
        <f>3.14*G155</f>
        <v>4.5529999999999999</v>
      </c>
    </row>
    <row r="171" spans="1:19" x14ac:dyDescent="0.2">
      <c r="B171" s="1" t="s">
        <v>50</v>
      </c>
    </row>
    <row r="172" spans="1:19" ht="16.5" customHeight="1" thickBot="1" x14ac:dyDescent="0.35">
      <c r="A172" s="159" t="s">
        <v>65</v>
      </c>
      <c r="B172" s="159"/>
      <c r="C172" s="159"/>
      <c r="D172" s="160" t="s">
        <v>68</v>
      </c>
      <c r="E172" s="160"/>
    </row>
    <row r="173" spans="1:19" ht="15.75" x14ac:dyDescent="0.3">
      <c r="A173" s="159"/>
      <c r="B173" s="159"/>
      <c r="C173" s="159"/>
      <c r="D173" s="161" t="s">
        <v>66</v>
      </c>
      <c r="E173" s="161"/>
    </row>
    <row r="175" spans="1:19" x14ac:dyDescent="0.2">
      <c r="B175" s="1" t="s">
        <v>51</v>
      </c>
    </row>
    <row r="176" spans="1:19" ht="16.5" thickBot="1" x14ac:dyDescent="0.35">
      <c r="A176" s="159" t="s">
        <v>65</v>
      </c>
      <c r="B176" s="159"/>
      <c r="C176" s="159"/>
      <c r="D176" s="160" t="s">
        <v>68</v>
      </c>
      <c r="E176" s="160"/>
    </row>
    <row r="177" spans="1:5" ht="15.75" x14ac:dyDescent="0.3">
      <c r="A177" s="159"/>
      <c r="B177" s="159"/>
      <c r="C177" s="159"/>
      <c r="D177" s="162" t="s">
        <v>69</v>
      </c>
      <c r="E177" s="162"/>
    </row>
    <row r="179" spans="1:5" x14ac:dyDescent="0.2">
      <c r="B179" s="1" t="s">
        <v>52</v>
      </c>
    </row>
    <row r="180" spans="1:5" ht="16.5" thickBot="1" x14ac:dyDescent="0.35">
      <c r="A180" s="169" t="s">
        <v>65</v>
      </c>
      <c r="B180" s="169"/>
      <c r="C180" s="169"/>
      <c r="D180" s="163" t="s">
        <v>68</v>
      </c>
      <c r="E180" s="163"/>
    </row>
    <row r="181" spans="1:5" ht="15.75" x14ac:dyDescent="0.3">
      <c r="A181" s="169"/>
      <c r="B181" s="169"/>
      <c r="C181" s="169"/>
      <c r="D181" s="164" t="s">
        <v>66</v>
      </c>
      <c r="E181" s="164"/>
    </row>
    <row r="183" spans="1:5" x14ac:dyDescent="0.2">
      <c r="B183" s="1" t="s">
        <v>136</v>
      </c>
    </row>
    <row r="184" spans="1:5" ht="16.5" thickBot="1" x14ac:dyDescent="0.35">
      <c r="A184" s="159" t="s">
        <v>65</v>
      </c>
      <c r="B184" s="159"/>
      <c r="C184" s="159"/>
      <c r="D184" s="160" t="s">
        <v>70</v>
      </c>
      <c r="E184" s="160"/>
    </row>
    <row r="185" spans="1:5" ht="15.75" x14ac:dyDescent="0.3">
      <c r="A185" s="159"/>
      <c r="B185" s="159"/>
      <c r="C185" s="159"/>
      <c r="D185" s="162" t="s">
        <v>69</v>
      </c>
      <c r="E185" s="162"/>
    </row>
  </sheetData>
  <mergeCells count="336">
    <mergeCell ref="N75:O75"/>
    <mergeCell ref="N77:O77"/>
    <mergeCell ref="N84:O84"/>
    <mergeCell ref="N85:O85"/>
    <mergeCell ref="J50:P50"/>
    <mergeCell ref="J51:K51"/>
    <mergeCell ref="L51:P51"/>
    <mergeCell ref="J52:K52"/>
    <mergeCell ref="J53:K53"/>
    <mergeCell ref="J59:K59"/>
    <mergeCell ref="J60:K60"/>
    <mergeCell ref="N73:O73"/>
    <mergeCell ref="N74:O74"/>
    <mergeCell ref="N71:O71"/>
    <mergeCell ref="N72:O72"/>
    <mergeCell ref="L57:P57"/>
    <mergeCell ref="J58:K58"/>
    <mergeCell ref="J61:K61"/>
    <mergeCell ref="J62:P62"/>
    <mergeCell ref="J57:K57"/>
    <mergeCell ref="N78:O78"/>
    <mergeCell ref="J54:K54"/>
    <mergeCell ref="J55:K55"/>
    <mergeCell ref="J56:P56"/>
    <mergeCell ref="F121:G121"/>
    <mergeCell ref="F104:G104"/>
    <mergeCell ref="F105:G105"/>
    <mergeCell ref="F107:G107"/>
    <mergeCell ref="F108:G108"/>
    <mergeCell ref="F119:G119"/>
    <mergeCell ref="F115:G115"/>
    <mergeCell ref="F116:G116"/>
    <mergeCell ref="F117:G117"/>
    <mergeCell ref="F114:G114"/>
    <mergeCell ref="F109:G109"/>
    <mergeCell ref="F110:G110"/>
    <mergeCell ref="F111:G111"/>
    <mergeCell ref="F113:G113"/>
    <mergeCell ref="B60:C60"/>
    <mergeCell ref="B61:C61"/>
    <mergeCell ref="F93:G93"/>
    <mergeCell ref="F85:G85"/>
    <mergeCell ref="F86:G86"/>
    <mergeCell ref="F87:G87"/>
    <mergeCell ref="F89:G89"/>
    <mergeCell ref="F99:G99"/>
    <mergeCell ref="F95:G95"/>
    <mergeCell ref="F96:G96"/>
    <mergeCell ref="F97:G97"/>
    <mergeCell ref="F98:G98"/>
    <mergeCell ref="B88:G88"/>
    <mergeCell ref="B62:H62"/>
    <mergeCell ref="D71:E71"/>
    <mergeCell ref="D72:E72"/>
    <mergeCell ref="D73:E73"/>
    <mergeCell ref="D74:E74"/>
    <mergeCell ref="D75:E75"/>
    <mergeCell ref="D77:E77"/>
    <mergeCell ref="D78:E78"/>
    <mergeCell ref="D79:E79"/>
    <mergeCell ref="D80:E80"/>
    <mergeCell ref="D81:E81"/>
    <mergeCell ref="L18:P18"/>
    <mergeCell ref="B27:E27"/>
    <mergeCell ref="F77:G77"/>
    <mergeCell ref="N93:O93"/>
    <mergeCell ref="N87:O87"/>
    <mergeCell ref="N89:O89"/>
    <mergeCell ref="N90:O90"/>
    <mergeCell ref="B66:C66"/>
    <mergeCell ref="B49:C49"/>
    <mergeCell ref="B53:C53"/>
    <mergeCell ref="B58:C58"/>
    <mergeCell ref="D63:H63"/>
    <mergeCell ref="B64:C64"/>
    <mergeCell ref="J69:K69"/>
    <mergeCell ref="L69:M69"/>
    <mergeCell ref="N69:O69"/>
    <mergeCell ref="J68:O68"/>
    <mergeCell ref="B68:G68"/>
    <mergeCell ref="B69:C69"/>
    <mergeCell ref="D69:E69"/>
    <mergeCell ref="F69:G69"/>
    <mergeCell ref="B63:C63"/>
    <mergeCell ref="B59:C59"/>
    <mergeCell ref="B57:C57"/>
    <mergeCell ref="D57:H57"/>
    <mergeCell ref="J63:K63"/>
    <mergeCell ref="L63:P63"/>
    <mergeCell ref="J64:K64"/>
    <mergeCell ref="B6:D6"/>
    <mergeCell ref="B16:D16"/>
    <mergeCell ref="B44:C44"/>
    <mergeCell ref="D18:H18"/>
    <mergeCell ref="B19:C19"/>
    <mergeCell ref="B20:C20"/>
    <mergeCell ref="B40:E40"/>
    <mergeCell ref="B43:C43"/>
    <mergeCell ref="B42:H42"/>
    <mergeCell ref="B10:D10"/>
    <mergeCell ref="B8:D8"/>
    <mergeCell ref="B14:C14"/>
    <mergeCell ref="B12:D12"/>
    <mergeCell ref="B18:C18"/>
    <mergeCell ref="H31:M31"/>
    <mergeCell ref="H30:M30"/>
    <mergeCell ref="B56:H56"/>
    <mergeCell ref="D43:H43"/>
    <mergeCell ref="B47:C47"/>
    <mergeCell ref="D45:H45"/>
    <mergeCell ref="B55:C55"/>
    <mergeCell ref="B46:C46"/>
    <mergeCell ref="D51:H51"/>
    <mergeCell ref="B50:H50"/>
    <mergeCell ref="B24:C24"/>
    <mergeCell ref="B51:C51"/>
    <mergeCell ref="B54:C54"/>
    <mergeCell ref="H35:M35"/>
    <mergeCell ref="B21:C21"/>
    <mergeCell ref="B22:C22"/>
    <mergeCell ref="B23:C23"/>
    <mergeCell ref="B52:C52"/>
    <mergeCell ref="B48:C48"/>
    <mergeCell ref="B45:C45"/>
    <mergeCell ref="J49:K49"/>
    <mergeCell ref="B37:C37"/>
    <mergeCell ref="B35:D35"/>
    <mergeCell ref="H36:M38"/>
    <mergeCell ref="J23:K23"/>
    <mergeCell ref="B33:D33"/>
    <mergeCell ref="J43:K43"/>
    <mergeCell ref="L43:P43"/>
    <mergeCell ref="J44:K44"/>
    <mergeCell ref="J45:K45"/>
    <mergeCell ref="L45:P45"/>
    <mergeCell ref="J46:K46"/>
    <mergeCell ref="J47:K47"/>
    <mergeCell ref="J48:K48"/>
    <mergeCell ref="J42:P42"/>
    <mergeCell ref="J22:K22"/>
    <mergeCell ref="B126:G126"/>
    <mergeCell ref="J71:K75"/>
    <mergeCell ref="J83:K87"/>
    <mergeCell ref="F71:G71"/>
    <mergeCell ref="F72:G72"/>
    <mergeCell ref="F73:G73"/>
    <mergeCell ref="F74:G74"/>
    <mergeCell ref="F75:G75"/>
    <mergeCell ref="F78:G78"/>
    <mergeCell ref="F79:G79"/>
    <mergeCell ref="J77:K81"/>
    <mergeCell ref="J119:K123"/>
    <mergeCell ref="J113:K117"/>
    <mergeCell ref="J107:K111"/>
    <mergeCell ref="J101:K105"/>
    <mergeCell ref="J95:K99"/>
    <mergeCell ref="J89:K93"/>
    <mergeCell ref="B71:C75"/>
    <mergeCell ref="B77:C81"/>
    <mergeCell ref="B83:C87"/>
    <mergeCell ref="B89:C93"/>
    <mergeCell ref="B76:G76"/>
    <mergeCell ref="F80:G80"/>
    <mergeCell ref="F81:G81"/>
    <mergeCell ref="N95:O95"/>
    <mergeCell ref="N96:O96"/>
    <mergeCell ref="D90:E90"/>
    <mergeCell ref="D91:E91"/>
    <mergeCell ref="D92:E92"/>
    <mergeCell ref="D93:E93"/>
    <mergeCell ref="D95:E95"/>
    <mergeCell ref="B94:G94"/>
    <mergeCell ref="F90:G90"/>
    <mergeCell ref="F91:G91"/>
    <mergeCell ref="F92:G92"/>
    <mergeCell ref="D96:E96"/>
    <mergeCell ref="N91:O91"/>
    <mergeCell ref="N83:O83"/>
    <mergeCell ref="N86:O86"/>
    <mergeCell ref="D89:E89"/>
    <mergeCell ref="N80:O80"/>
    <mergeCell ref="N81:O81"/>
    <mergeCell ref="N92:O92"/>
    <mergeCell ref="N79:O79"/>
    <mergeCell ref="N97:O97"/>
    <mergeCell ref="N98:O98"/>
    <mergeCell ref="N99:O99"/>
    <mergeCell ref="N101:O101"/>
    <mergeCell ref="N102:O102"/>
    <mergeCell ref="N103:O103"/>
    <mergeCell ref="N104:O104"/>
    <mergeCell ref="N105:O105"/>
    <mergeCell ref="N107:O107"/>
    <mergeCell ref="N108:O108"/>
    <mergeCell ref="N109:O109"/>
    <mergeCell ref="N110:O110"/>
    <mergeCell ref="N111:O111"/>
    <mergeCell ref="N113:O113"/>
    <mergeCell ref="N114:O114"/>
    <mergeCell ref="N115:O115"/>
    <mergeCell ref="N116:O116"/>
    <mergeCell ref="N117:O117"/>
    <mergeCell ref="N119:O119"/>
    <mergeCell ref="N120:O120"/>
    <mergeCell ref="N121:O121"/>
    <mergeCell ref="N122:O122"/>
    <mergeCell ref="N123:O123"/>
    <mergeCell ref="D83:E83"/>
    <mergeCell ref="D84:E84"/>
    <mergeCell ref="D85:E85"/>
    <mergeCell ref="D86:E86"/>
    <mergeCell ref="D87:E87"/>
    <mergeCell ref="B82:G82"/>
    <mergeCell ref="F83:G83"/>
    <mergeCell ref="F84:G84"/>
    <mergeCell ref="F103:G103"/>
    <mergeCell ref="B101:C105"/>
    <mergeCell ref="B95:C99"/>
    <mergeCell ref="D110:E110"/>
    <mergeCell ref="D111:E111"/>
    <mergeCell ref="D97:E97"/>
    <mergeCell ref="D98:E98"/>
    <mergeCell ref="D99:E99"/>
    <mergeCell ref="D101:E101"/>
    <mergeCell ref="D102:E102"/>
    <mergeCell ref="B100:G100"/>
    <mergeCell ref="F101:G101"/>
    <mergeCell ref="F102:G102"/>
    <mergeCell ref="D103:E103"/>
    <mergeCell ref="D122:E122"/>
    <mergeCell ref="D123:E123"/>
    <mergeCell ref="B118:G118"/>
    <mergeCell ref="B119:C123"/>
    <mergeCell ref="F122:G122"/>
    <mergeCell ref="F123:G123"/>
    <mergeCell ref="F120:G120"/>
    <mergeCell ref="L71:M71"/>
    <mergeCell ref="L72:M72"/>
    <mergeCell ref="L73:M73"/>
    <mergeCell ref="L74:M74"/>
    <mergeCell ref="L75:M75"/>
    <mergeCell ref="L77:M77"/>
    <mergeCell ref="L78:M78"/>
    <mergeCell ref="L79:M79"/>
    <mergeCell ref="L86:M86"/>
    <mergeCell ref="L87:M87"/>
    <mergeCell ref="L89:M89"/>
    <mergeCell ref="L80:M80"/>
    <mergeCell ref="L81:M81"/>
    <mergeCell ref="L83:M83"/>
    <mergeCell ref="L84:M84"/>
    <mergeCell ref="L110:M110"/>
    <mergeCell ref="D113:E113"/>
    <mergeCell ref="L102:M102"/>
    <mergeCell ref="L103:M103"/>
    <mergeCell ref="L95:M95"/>
    <mergeCell ref="L96:M96"/>
    <mergeCell ref="L97:M97"/>
    <mergeCell ref="L98:M98"/>
    <mergeCell ref="L99:M99"/>
    <mergeCell ref="L113:M113"/>
    <mergeCell ref="D121:E121"/>
    <mergeCell ref="D114:E114"/>
    <mergeCell ref="D115:E115"/>
    <mergeCell ref="D116:E116"/>
    <mergeCell ref="B112:G112"/>
    <mergeCell ref="B113:C117"/>
    <mergeCell ref="D117:E117"/>
    <mergeCell ref="D119:E119"/>
    <mergeCell ref="D120:E120"/>
    <mergeCell ref="D104:E104"/>
    <mergeCell ref="D105:E105"/>
    <mergeCell ref="D107:E107"/>
    <mergeCell ref="D108:E108"/>
    <mergeCell ref="D109:E109"/>
    <mergeCell ref="B106:G106"/>
    <mergeCell ref="B107:C111"/>
    <mergeCell ref="B70:G70"/>
    <mergeCell ref="J70:O70"/>
    <mergeCell ref="I150:J150"/>
    <mergeCell ref="A180:C181"/>
    <mergeCell ref="L120:M120"/>
    <mergeCell ref="L121:M121"/>
    <mergeCell ref="L122:M122"/>
    <mergeCell ref="J76:O76"/>
    <mergeCell ref="L123:M123"/>
    <mergeCell ref="J100:O100"/>
    <mergeCell ref="J94:O94"/>
    <mergeCell ref="J88:O88"/>
    <mergeCell ref="J82:O82"/>
    <mergeCell ref="L111:M111"/>
    <mergeCell ref="L90:M90"/>
    <mergeCell ref="L91:M91"/>
    <mergeCell ref="L92:M92"/>
    <mergeCell ref="L93:M93"/>
    <mergeCell ref="L85:M85"/>
    <mergeCell ref="L114:M114"/>
    <mergeCell ref="L115:M115"/>
    <mergeCell ref="L116:M116"/>
    <mergeCell ref="L117:M117"/>
    <mergeCell ref="L104:M104"/>
    <mergeCell ref="A184:C185"/>
    <mergeCell ref="D172:E172"/>
    <mergeCell ref="D173:E173"/>
    <mergeCell ref="D176:E176"/>
    <mergeCell ref="D177:E177"/>
    <mergeCell ref="D180:E180"/>
    <mergeCell ref="D181:E181"/>
    <mergeCell ref="D184:E184"/>
    <mergeCell ref="A172:C173"/>
    <mergeCell ref="D185:E185"/>
    <mergeCell ref="A176:C177"/>
    <mergeCell ref="J16:L16"/>
    <mergeCell ref="J21:K21"/>
    <mergeCell ref="J18:K18"/>
    <mergeCell ref="J19:K19"/>
    <mergeCell ref="J20:K20"/>
    <mergeCell ref="I126:R126"/>
    <mergeCell ref="J160:N160"/>
    <mergeCell ref="J161:N161"/>
    <mergeCell ref="J162:N162"/>
    <mergeCell ref="I153:J153"/>
    <mergeCell ref="J155:L155"/>
    <mergeCell ref="J156:N156"/>
    <mergeCell ref="J157:N157"/>
    <mergeCell ref="J158:N158"/>
    <mergeCell ref="J159:N159"/>
    <mergeCell ref="J118:O118"/>
    <mergeCell ref="J112:O112"/>
    <mergeCell ref="J106:O106"/>
    <mergeCell ref="L119:M119"/>
    <mergeCell ref="L105:M105"/>
    <mergeCell ref="L107:M107"/>
    <mergeCell ref="L108:M108"/>
    <mergeCell ref="L109:M109"/>
    <mergeCell ref="L101:M101"/>
  </mergeCells>
  <phoneticPr fontId="6" type="noConversion"/>
  <dataValidations disablePrompts="1" count="1">
    <dataValidation type="list" allowBlank="1" showInputMessage="1" showErrorMessage="1" sqref="E35">
      <formula1>#REF!</formula1>
    </dataValidation>
  </dataValidations>
  <printOptions horizontalCentered="1"/>
  <pageMargins left="0.5" right="0.5" top="1" bottom="1" header="0.5" footer="0.5"/>
  <pageSetup scale="86"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7"/>
  <sheetViews>
    <sheetView workbookViewId="0">
      <selection activeCell="C18" sqref="C18:E18"/>
    </sheetView>
  </sheetViews>
  <sheetFormatPr defaultColWidth="8.85546875" defaultRowHeight="12.75" x14ac:dyDescent="0.2"/>
  <cols>
    <col min="2" max="2" width="16" customWidth="1"/>
    <col min="3" max="3" width="20.140625" customWidth="1"/>
    <col min="5" max="5" width="13.7109375" customWidth="1"/>
  </cols>
  <sheetData>
    <row r="3" spans="2:16" x14ac:dyDescent="0.2">
      <c r="B3" s="12" t="s">
        <v>12</v>
      </c>
    </row>
    <row r="5" spans="2:16" x14ac:dyDescent="0.2">
      <c r="B5" s="12" t="s">
        <v>13</v>
      </c>
      <c r="C5" s="12" t="s">
        <v>21</v>
      </c>
    </row>
    <row r="6" spans="2:16" x14ac:dyDescent="0.2">
      <c r="B6" t="s">
        <v>14</v>
      </c>
      <c r="C6" s="1">
        <v>0</v>
      </c>
    </row>
    <row r="7" spans="2:16" x14ac:dyDescent="0.2">
      <c r="B7" t="s">
        <v>15</v>
      </c>
      <c r="C7" s="1">
        <v>1000</v>
      </c>
    </row>
    <row r="8" spans="2:16" x14ac:dyDescent="0.2">
      <c r="B8" t="s">
        <v>16</v>
      </c>
      <c r="C8" s="1">
        <v>1500</v>
      </c>
    </row>
    <row r="9" spans="2:16" x14ac:dyDescent="0.2">
      <c r="B9" t="s">
        <v>17</v>
      </c>
      <c r="C9" s="1">
        <v>3000</v>
      </c>
    </row>
    <row r="10" spans="2:16" x14ac:dyDescent="0.2">
      <c r="B10" t="s">
        <v>18</v>
      </c>
      <c r="C10" s="1">
        <v>4000</v>
      </c>
    </row>
    <row r="11" spans="2:16" x14ac:dyDescent="0.2">
      <c r="B11" t="s">
        <v>19</v>
      </c>
      <c r="C11" s="1">
        <v>6000</v>
      </c>
    </row>
    <row r="12" spans="2:16" x14ac:dyDescent="0.2">
      <c r="B12" t="s">
        <v>20</v>
      </c>
      <c r="C12" s="1">
        <v>9000</v>
      </c>
    </row>
    <row r="15" spans="2:16" ht="15.75" x14ac:dyDescent="0.3">
      <c r="B15" s="153" t="s">
        <v>28</v>
      </c>
      <c r="C15" s="153"/>
      <c r="M15" s="209" t="s">
        <v>49</v>
      </c>
      <c r="N15" s="209"/>
      <c r="O15" s="209"/>
      <c r="P15" s="209"/>
    </row>
    <row r="16" spans="2:16" x14ac:dyDescent="0.2">
      <c r="M16" s="192" t="s">
        <v>107</v>
      </c>
      <c r="N16" s="192"/>
      <c r="O16" s="192"/>
      <c r="P16" s="192"/>
    </row>
    <row r="17" spans="2:16" ht="15.75" x14ac:dyDescent="0.3">
      <c r="B17" s="18" t="s">
        <v>13</v>
      </c>
      <c r="C17" s="154" t="s">
        <v>37</v>
      </c>
      <c r="D17" s="154"/>
      <c r="E17" s="154"/>
      <c r="F17" s="7" t="s">
        <v>44</v>
      </c>
      <c r="G17" s="1" t="s">
        <v>45</v>
      </c>
      <c r="H17" s="1" t="s">
        <v>46</v>
      </c>
      <c r="I17" s="1" t="s">
        <v>47</v>
      </c>
      <c r="J17" s="7" t="s">
        <v>48</v>
      </c>
      <c r="K17" s="7"/>
      <c r="L17" s="7"/>
      <c r="M17" s="32">
        <v>2</v>
      </c>
      <c r="N17" s="32">
        <v>3</v>
      </c>
      <c r="O17" s="32">
        <v>4</v>
      </c>
      <c r="P17" s="32">
        <v>5</v>
      </c>
    </row>
    <row r="18" spans="2:16" x14ac:dyDescent="0.2">
      <c r="B18" t="s">
        <v>29</v>
      </c>
      <c r="C18" s="152" t="s">
        <v>36</v>
      </c>
      <c r="D18" s="152"/>
      <c r="E18" s="152"/>
      <c r="F18" s="1">
        <v>0</v>
      </c>
      <c r="G18" s="20">
        <v>0</v>
      </c>
      <c r="H18" s="20">
        <v>300</v>
      </c>
      <c r="I18" s="20">
        <v>0.8</v>
      </c>
      <c r="J18" s="20">
        <v>90</v>
      </c>
      <c r="K18" s="29"/>
      <c r="L18" s="20"/>
      <c r="M18" s="32">
        <v>0.2</v>
      </c>
      <c r="N18" s="32">
        <v>0.4</v>
      </c>
      <c r="O18" s="32">
        <v>0.6</v>
      </c>
      <c r="P18" s="32">
        <v>0.85</v>
      </c>
    </row>
    <row r="19" spans="2:16" x14ac:dyDescent="0.2">
      <c r="B19" t="s">
        <v>30</v>
      </c>
      <c r="C19" s="152" t="s">
        <v>38</v>
      </c>
      <c r="D19" s="152"/>
      <c r="E19" s="152"/>
      <c r="F19" s="1">
        <v>29</v>
      </c>
      <c r="G19" s="20">
        <v>0.75</v>
      </c>
      <c r="H19" s="20">
        <v>0</v>
      </c>
      <c r="I19" s="20">
        <v>0</v>
      </c>
      <c r="J19" s="20">
        <v>90</v>
      </c>
      <c r="K19" s="29"/>
      <c r="L19" s="20"/>
      <c r="M19" s="32">
        <v>0.2</v>
      </c>
      <c r="N19" s="32">
        <v>0.4</v>
      </c>
      <c r="O19" s="32">
        <v>0.6</v>
      </c>
      <c r="P19" s="32">
        <v>0.85</v>
      </c>
    </row>
    <row r="20" spans="2:16" x14ac:dyDescent="0.2">
      <c r="B20" t="s">
        <v>31</v>
      </c>
      <c r="C20" s="152" t="s">
        <v>39</v>
      </c>
      <c r="D20" s="152"/>
      <c r="E20" s="152"/>
      <c r="F20" s="1">
        <v>0</v>
      </c>
      <c r="G20" s="20">
        <v>0</v>
      </c>
      <c r="H20" s="20">
        <v>300</v>
      </c>
      <c r="I20" s="20">
        <v>0.8</v>
      </c>
      <c r="J20" s="20">
        <v>90</v>
      </c>
      <c r="K20" s="29"/>
      <c r="L20" s="20"/>
      <c r="M20" s="32">
        <v>0.4</v>
      </c>
      <c r="N20" s="32">
        <v>0.6</v>
      </c>
      <c r="O20" s="32">
        <v>0.85</v>
      </c>
      <c r="P20" s="32">
        <v>1</v>
      </c>
    </row>
    <row r="21" spans="2:16" x14ac:dyDescent="0.2">
      <c r="B21" t="s">
        <v>32</v>
      </c>
      <c r="C21" s="152" t="s">
        <v>40</v>
      </c>
      <c r="D21" s="152"/>
      <c r="E21" s="152"/>
      <c r="F21" s="1">
        <v>29</v>
      </c>
      <c r="G21" s="20">
        <v>0.75</v>
      </c>
      <c r="H21" s="20">
        <v>0</v>
      </c>
      <c r="I21" s="20">
        <v>0</v>
      </c>
      <c r="J21" s="20">
        <v>90</v>
      </c>
      <c r="K21" s="29"/>
      <c r="L21" s="20"/>
      <c r="M21" s="32">
        <v>0.4</v>
      </c>
      <c r="N21" s="32">
        <v>0.6</v>
      </c>
      <c r="O21" s="32">
        <v>0.85</v>
      </c>
      <c r="P21" s="32">
        <v>1</v>
      </c>
    </row>
    <row r="22" spans="2:16" x14ac:dyDescent="0.2">
      <c r="B22" t="s">
        <v>33</v>
      </c>
      <c r="C22" s="152" t="s">
        <v>41</v>
      </c>
      <c r="D22" s="152"/>
      <c r="E22" s="152"/>
      <c r="F22" s="1">
        <v>20</v>
      </c>
      <c r="G22" s="20">
        <v>0.65</v>
      </c>
      <c r="H22" s="20">
        <v>200</v>
      </c>
      <c r="I22" s="20">
        <v>0.4</v>
      </c>
      <c r="J22" s="20">
        <v>90</v>
      </c>
      <c r="K22" s="29"/>
      <c r="L22" s="20"/>
      <c r="M22" s="32">
        <v>0.4</v>
      </c>
      <c r="N22" s="32">
        <v>0.6</v>
      </c>
      <c r="O22" s="32">
        <v>0.85</v>
      </c>
      <c r="P22" s="32">
        <v>1</v>
      </c>
    </row>
    <row r="23" spans="2:16" x14ac:dyDescent="0.2">
      <c r="B23" t="s">
        <v>34</v>
      </c>
      <c r="C23" s="152" t="s">
        <v>42</v>
      </c>
      <c r="D23" s="152"/>
      <c r="E23" s="152"/>
      <c r="F23" s="1">
        <v>30</v>
      </c>
      <c r="G23" s="20">
        <v>0.75</v>
      </c>
      <c r="H23" s="20">
        <v>0</v>
      </c>
      <c r="I23" s="20">
        <v>0</v>
      </c>
      <c r="J23" s="20">
        <v>90</v>
      </c>
      <c r="K23" s="29"/>
      <c r="L23" s="20"/>
      <c r="M23" s="32">
        <v>0.4</v>
      </c>
      <c r="N23" s="32">
        <v>0.6</v>
      </c>
      <c r="O23" s="32">
        <v>0.85</v>
      </c>
      <c r="P23" s="32">
        <v>1</v>
      </c>
    </row>
    <row r="24" spans="2:16" x14ac:dyDescent="0.2">
      <c r="B24" t="s">
        <v>35</v>
      </c>
      <c r="C24" s="152" t="s">
        <v>43</v>
      </c>
      <c r="D24" s="152"/>
      <c r="E24" s="152"/>
      <c r="F24" s="1">
        <v>36</v>
      </c>
      <c r="G24" s="20">
        <v>0.8</v>
      </c>
      <c r="H24" s="20">
        <v>0</v>
      </c>
      <c r="I24" s="20">
        <v>0</v>
      </c>
      <c r="J24" s="20">
        <v>100</v>
      </c>
      <c r="K24" s="29"/>
      <c r="L24" s="20"/>
      <c r="M24" s="32">
        <v>0.4</v>
      </c>
      <c r="N24" s="32">
        <v>0.6</v>
      </c>
      <c r="O24" s="32">
        <v>0.85</v>
      </c>
      <c r="P24" s="32">
        <v>1</v>
      </c>
    </row>
    <row r="27" spans="2:16" x14ac:dyDescent="0.2">
      <c r="B27" s="39"/>
    </row>
  </sheetData>
  <mergeCells count="11">
    <mergeCell ref="M15:P15"/>
    <mergeCell ref="M16:P16"/>
    <mergeCell ref="B15:C15"/>
    <mergeCell ref="C18:E18"/>
    <mergeCell ref="C23:E23"/>
    <mergeCell ref="C24:E24"/>
    <mergeCell ref="C17:E17"/>
    <mergeCell ref="C19:E19"/>
    <mergeCell ref="C20:E20"/>
    <mergeCell ref="C21:E21"/>
    <mergeCell ref="C22:E22"/>
  </mergeCells>
  <phoneticPr fontId="6" type="noConversion"/>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62"/>
  <sheetViews>
    <sheetView zoomScale="85" workbookViewId="0">
      <selection activeCell="C1" sqref="C1"/>
    </sheetView>
  </sheetViews>
  <sheetFormatPr defaultColWidth="8.85546875" defaultRowHeight="12.75" x14ac:dyDescent="0.2"/>
  <cols>
    <col min="2" max="2" width="16" customWidth="1"/>
    <col min="3" max="3" width="20" customWidth="1"/>
    <col min="5" max="5" width="16.140625" customWidth="1"/>
    <col min="6" max="6" width="20" customWidth="1"/>
    <col min="8" max="8" width="15.140625" customWidth="1"/>
    <col min="9" max="9" width="20" customWidth="1"/>
    <col min="11" max="11" width="15.7109375" customWidth="1"/>
    <col min="12" max="12" width="19.85546875" customWidth="1"/>
  </cols>
  <sheetData>
    <row r="3" spans="1:18" ht="15.75" x14ac:dyDescent="0.25">
      <c r="B3" s="41" t="s">
        <v>107</v>
      </c>
    </row>
    <row r="5" spans="1:18" x14ac:dyDescent="0.2">
      <c r="A5" s="10"/>
      <c r="B5" s="4"/>
      <c r="C5" s="4"/>
      <c r="D5" s="10"/>
      <c r="E5" s="4"/>
      <c r="F5" s="4"/>
      <c r="G5" s="10"/>
      <c r="H5" s="4"/>
      <c r="I5" s="4"/>
      <c r="J5" s="10"/>
      <c r="K5" s="10"/>
      <c r="L5" s="10"/>
      <c r="M5" s="10"/>
      <c r="N5" s="10"/>
      <c r="O5" s="10"/>
      <c r="P5" s="10"/>
      <c r="Q5" s="10"/>
      <c r="R5" s="10"/>
    </row>
    <row r="6" spans="1:18" x14ac:dyDescent="0.2">
      <c r="A6" s="10"/>
      <c r="B6" s="154" t="s">
        <v>116</v>
      </c>
      <c r="C6" s="154"/>
      <c r="E6" s="154" t="s">
        <v>112</v>
      </c>
      <c r="F6" s="154"/>
      <c r="H6" s="154" t="s">
        <v>113</v>
      </c>
      <c r="I6" s="154"/>
      <c r="K6" s="154" t="s">
        <v>114</v>
      </c>
      <c r="L6" s="154"/>
      <c r="M6" s="42"/>
      <c r="N6" s="42"/>
      <c r="O6" s="10"/>
      <c r="P6" s="10"/>
      <c r="Q6" s="10"/>
      <c r="R6" s="10"/>
    </row>
    <row r="7" spans="1:18" x14ac:dyDescent="0.2">
      <c r="A7" s="10"/>
      <c r="O7" s="10"/>
      <c r="P7" s="10"/>
      <c r="Q7" s="10"/>
      <c r="R7" s="10"/>
    </row>
    <row r="8" spans="1:18" x14ac:dyDescent="0.2">
      <c r="A8" s="10"/>
      <c r="O8" s="10"/>
      <c r="P8" s="10"/>
      <c r="Q8" s="10"/>
      <c r="R8" s="10"/>
    </row>
    <row r="9" spans="1:18" x14ac:dyDescent="0.2">
      <c r="A9" s="10"/>
      <c r="O9" s="10"/>
      <c r="P9" s="10"/>
      <c r="Q9" s="10"/>
      <c r="R9" s="10"/>
    </row>
    <row r="10" spans="1:18" x14ac:dyDescent="0.2">
      <c r="A10" s="10"/>
      <c r="O10" s="10"/>
      <c r="P10" s="10"/>
      <c r="Q10" s="10"/>
      <c r="R10" s="10"/>
    </row>
    <row r="11" spans="1:18" x14ac:dyDescent="0.2">
      <c r="A11" s="10"/>
      <c r="O11" s="10"/>
      <c r="P11" s="10"/>
      <c r="Q11" s="10"/>
      <c r="R11" s="10"/>
    </row>
    <row r="12" spans="1:18" x14ac:dyDescent="0.2">
      <c r="A12" s="10"/>
      <c r="O12" s="10"/>
      <c r="P12" s="10"/>
      <c r="Q12" s="10"/>
      <c r="R12" s="10"/>
    </row>
    <row r="13" spans="1:18" x14ac:dyDescent="0.2">
      <c r="A13" s="10"/>
      <c r="O13" s="10"/>
      <c r="P13" s="10"/>
      <c r="Q13" s="10"/>
      <c r="R13" s="10"/>
    </row>
    <row r="14" spans="1:18" x14ac:dyDescent="0.2">
      <c r="A14" s="10"/>
      <c r="O14" s="10"/>
      <c r="P14" s="10"/>
      <c r="Q14" s="10"/>
      <c r="R14" s="10"/>
    </row>
    <row r="15" spans="1:18" x14ac:dyDescent="0.2">
      <c r="A15" s="10"/>
      <c r="O15" s="36"/>
      <c r="P15" s="36"/>
      <c r="Q15" s="10"/>
      <c r="R15" s="10"/>
    </row>
    <row r="16" spans="1:18" x14ac:dyDescent="0.2">
      <c r="A16" s="10"/>
      <c r="O16" s="30"/>
      <c r="P16" s="30"/>
      <c r="Q16" s="10"/>
      <c r="R16" s="10"/>
    </row>
    <row r="17" spans="1:18" x14ac:dyDescent="0.2">
      <c r="A17" s="10"/>
      <c r="O17" s="5"/>
      <c r="P17" s="5"/>
      <c r="Q17" s="10"/>
      <c r="R17" s="10"/>
    </row>
    <row r="18" spans="1:18" x14ac:dyDescent="0.2">
      <c r="A18" s="10"/>
      <c r="O18" s="5"/>
      <c r="P18" s="5"/>
      <c r="Q18" s="10"/>
      <c r="R18" s="10"/>
    </row>
    <row r="19" spans="1:18" ht="12.75" customHeight="1" x14ac:dyDescent="0.2">
      <c r="A19" s="10"/>
      <c r="B19" s="211" t="s">
        <v>115</v>
      </c>
      <c r="C19" s="211"/>
      <c r="E19" s="210" t="s">
        <v>109</v>
      </c>
      <c r="F19" s="210"/>
      <c r="H19" s="210" t="s">
        <v>110</v>
      </c>
      <c r="I19" s="210"/>
      <c r="K19" s="210" t="s">
        <v>111</v>
      </c>
      <c r="L19" s="210"/>
      <c r="M19" s="40"/>
      <c r="N19" s="40"/>
      <c r="O19" s="5"/>
      <c r="P19" s="5"/>
      <c r="Q19" s="10"/>
      <c r="R19" s="10"/>
    </row>
    <row r="20" spans="1:18" ht="12.75" customHeight="1" x14ac:dyDescent="0.2">
      <c r="A20" s="10"/>
      <c r="B20" s="211"/>
      <c r="C20" s="211"/>
      <c r="E20" s="210"/>
      <c r="F20" s="210"/>
      <c r="H20" s="210"/>
      <c r="I20" s="210"/>
      <c r="K20" s="210"/>
      <c r="L20" s="210"/>
      <c r="M20" s="40"/>
      <c r="N20" s="40"/>
      <c r="O20" s="5"/>
      <c r="P20" s="5"/>
      <c r="Q20" s="10"/>
      <c r="R20" s="10"/>
    </row>
    <row r="21" spans="1:18" x14ac:dyDescent="0.2">
      <c r="A21" s="10"/>
      <c r="B21" s="211"/>
      <c r="C21" s="211"/>
      <c r="E21" s="210"/>
      <c r="F21" s="210"/>
      <c r="H21" s="210"/>
      <c r="I21" s="210"/>
      <c r="K21" s="210"/>
      <c r="L21" s="210"/>
      <c r="M21" s="40"/>
      <c r="N21" s="40"/>
      <c r="O21" s="5"/>
      <c r="P21" s="5"/>
      <c r="Q21" s="10"/>
      <c r="R21" s="10"/>
    </row>
    <row r="22" spans="1:18" x14ac:dyDescent="0.2">
      <c r="A22" s="10"/>
      <c r="B22" s="211"/>
      <c r="C22" s="211"/>
      <c r="E22" s="210"/>
      <c r="F22" s="210"/>
      <c r="H22" s="210"/>
      <c r="I22" s="210"/>
      <c r="K22" s="210"/>
      <c r="L22" s="210"/>
      <c r="M22" s="40"/>
      <c r="N22" s="40"/>
      <c r="O22" s="5"/>
      <c r="P22" s="5"/>
      <c r="Q22" s="10"/>
      <c r="R22" s="10"/>
    </row>
    <row r="23" spans="1:18" x14ac:dyDescent="0.2">
      <c r="A23" s="10"/>
      <c r="B23" s="211"/>
      <c r="C23" s="211"/>
      <c r="E23" s="210"/>
      <c r="F23" s="210"/>
      <c r="H23" s="210"/>
      <c r="I23" s="210"/>
      <c r="K23" s="210"/>
      <c r="L23" s="210"/>
      <c r="M23" s="40"/>
      <c r="N23" s="40"/>
      <c r="O23" s="5"/>
      <c r="P23" s="5"/>
      <c r="Q23" s="10"/>
      <c r="R23" s="10"/>
    </row>
    <row r="24" spans="1:18" x14ac:dyDescent="0.2">
      <c r="A24" s="10"/>
      <c r="K24" s="40"/>
      <c r="L24" s="40"/>
      <c r="M24" s="40"/>
      <c r="N24" s="40"/>
      <c r="O24" s="5"/>
      <c r="P24" s="5"/>
      <c r="Q24" s="10"/>
      <c r="R24" s="10"/>
    </row>
    <row r="25" spans="1:18" x14ac:dyDescent="0.2">
      <c r="A25" s="10"/>
      <c r="O25" s="10"/>
      <c r="P25" s="10"/>
      <c r="Q25" s="10"/>
      <c r="R25" s="10"/>
    </row>
    <row r="26" spans="1:18" x14ac:dyDescent="0.2">
      <c r="A26" s="10"/>
      <c r="B26" s="10"/>
      <c r="C26" s="10"/>
      <c r="D26" s="10"/>
      <c r="E26" s="10"/>
      <c r="F26" s="10"/>
      <c r="G26" s="10"/>
      <c r="H26" s="10"/>
      <c r="I26" s="10"/>
      <c r="J26" s="10"/>
      <c r="K26" s="34"/>
      <c r="L26" s="34"/>
      <c r="M26" s="10"/>
      <c r="N26" s="10"/>
      <c r="O26" s="10"/>
      <c r="P26" s="10"/>
      <c r="Q26" s="10"/>
      <c r="R26" s="10"/>
    </row>
    <row r="27" spans="1:18" x14ac:dyDescent="0.2">
      <c r="B27" s="39"/>
      <c r="K27" s="39"/>
      <c r="L27" s="39"/>
    </row>
    <row r="28" spans="1:18" ht="15.75" x14ac:dyDescent="0.25">
      <c r="B28" s="41" t="s">
        <v>118</v>
      </c>
      <c r="K28" s="39"/>
      <c r="L28" s="39"/>
    </row>
    <row r="29" spans="1:18" x14ac:dyDescent="0.2">
      <c r="L29" s="39"/>
      <c r="M29" s="39"/>
    </row>
    <row r="42" spans="3:3" x14ac:dyDescent="0.2">
      <c r="C42" s="43"/>
    </row>
    <row r="44" spans="3:3" ht="12.75" customHeight="1" x14ac:dyDescent="0.2"/>
    <row r="62" spans="2:2" x14ac:dyDescent="0.2">
      <c r="B62" t="s">
        <v>124</v>
      </c>
    </row>
  </sheetData>
  <mergeCells count="8">
    <mergeCell ref="K6:L6"/>
    <mergeCell ref="K19:L23"/>
    <mergeCell ref="H19:I23"/>
    <mergeCell ref="E19:F23"/>
    <mergeCell ref="B19:C23"/>
    <mergeCell ref="B6:C6"/>
    <mergeCell ref="E6:F6"/>
    <mergeCell ref="H6:I6"/>
  </mergeCells>
  <phoneticPr fontId="6" type="noConversion"/>
  <pageMargins left="0.75" right="0.75" top="1" bottom="1" header="0.5" footer="0.5"/>
  <pageSetup orientation="portrait" verticalDpi="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1" sqref="A11"/>
    </sheetView>
  </sheetViews>
  <sheetFormatPr defaultColWidth="8.85546875" defaultRowHeight="12.75" x14ac:dyDescent="0.2"/>
  <sheetData>
    <row r="1" spans="1:1" x14ac:dyDescent="0.2">
      <c r="A1" s="141" t="s">
        <v>140</v>
      </c>
    </row>
    <row r="3" spans="1:1" x14ac:dyDescent="0.2">
      <c r="A3" t="s">
        <v>141</v>
      </c>
    </row>
    <row r="4" spans="1:1" x14ac:dyDescent="0.2">
      <c r="A4" t="s">
        <v>142</v>
      </c>
    </row>
    <row r="5" spans="1:1" x14ac:dyDescent="0.2">
      <c r="A5" t="s">
        <v>143</v>
      </c>
    </row>
    <row r="6" spans="1:1" x14ac:dyDescent="0.2">
      <c r="A6" t="s">
        <v>144</v>
      </c>
    </row>
    <row r="7" spans="1:1" x14ac:dyDescent="0.2">
      <c r="A7" t="s">
        <v>145</v>
      </c>
    </row>
    <row r="9" spans="1:1" x14ac:dyDescent="0.2">
      <c r="A9" s="141" t="s">
        <v>146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Restraint Calculator</vt:lpstr>
      <vt:lpstr>Soil Characteristics</vt:lpstr>
      <vt:lpstr>Thrust Block-Trench Type</vt:lpstr>
      <vt:lpstr>Guidance</vt:lpstr>
      <vt:lpstr>'Restraint Calculator'!Print_Area</vt:lpstr>
    </vt:vector>
  </TitlesOfParts>
  <Company>Njam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NJAM</dc:creator>
  <cp:lastModifiedBy>Raiken,David</cp:lastModifiedBy>
  <cp:lastPrinted>2012-01-13T16:46:39Z</cp:lastPrinted>
  <dcterms:created xsi:type="dcterms:W3CDTF">2001-01-22T19:34:53Z</dcterms:created>
  <dcterms:modified xsi:type="dcterms:W3CDTF">2018-04-14T15:13:37Z</dcterms:modified>
</cp:coreProperties>
</file>